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26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R:\BoardShare-ECON-Division\Metro_Outlook\Publication - Cities\Book 1\"/>
    </mc:Choice>
  </mc:AlternateContent>
  <xr:revisionPtr revIDLastSave="0" documentId="13_ncr:1_{9BAFAD9F-9D18-4962-8C2E-0743FAC692D4}" xr6:coauthVersionLast="47" xr6:coauthVersionMax="47" xr10:uidLastSave="{00000000-0000-0000-0000-000000000000}"/>
  <bookViews>
    <workbookView xWindow="-110" yWindow="-110" windowWidth="19420" windowHeight="10420" firstSheet="10" activeTab="10" xr2:uid="{00000000-000D-0000-FFFF-FFFF00000000}"/>
  </bookViews>
  <sheets>
    <sheet name="Ranking" sheetId="17" r:id="rId1"/>
    <sheet name="Credit Quality" sheetId="16" r:id="rId2"/>
    <sheet name="Relative Cost of Shelter" sheetId="15" r:id="rId3"/>
    <sheet name="Economic Indicators" sheetId="14" r:id="rId4"/>
    <sheet name="Chart 1" sheetId="13" r:id="rId5"/>
    <sheet name="Chart 2" sheetId="12" r:id="rId6"/>
    <sheet name="Table 1" sheetId="11" r:id="rId7"/>
    <sheet name="Table 2" sheetId="10" r:id="rId8"/>
    <sheet name="Chart 3" sheetId="9" r:id="rId9"/>
    <sheet name="Table 3" sheetId="8" r:id="rId10"/>
    <sheet name="Table 4" sheetId="7" r:id="rId11"/>
    <sheet name="Chart 4" sheetId="6" r:id="rId12"/>
    <sheet name="Chart 5" sheetId="5" r:id="rId13"/>
    <sheet name="Chart 6" sheetId="4" r:id="rId14"/>
    <sheet name="Chart 7" sheetId="3" r:id="rId15"/>
    <sheet name="Table 5" sheetId="2" r:id="rId16"/>
    <sheet name="Chart 8" sheetId="18" r:id="rId17"/>
    <sheet name="Hamilton" sheetId="1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7" l="1"/>
  <c r="B18" i="7"/>
  <c r="B16" i="7"/>
  <c r="B15" i="7"/>
  <c r="B14" i="7"/>
  <c r="B13" i="7"/>
  <c r="B11" i="7"/>
  <c r="B10" i="7"/>
  <c r="B9" i="7"/>
  <c r="B8" i="7"/>
  <c r="A21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7" i="17"/>
  <c r="E5" i="17" l="1"/>
  <c r="D5" i="17"/>
  <c r="H9" i="17"/>
  <c r="H8" i="17"/>
  <c r="A8" i="10" l="1"/>
  <c r="A9" i="10"/>
  <c r="A10" i="10"/>
  <c r="A11" i="10"/>
  <c r="A12" i="10"/>
  <c r="A13" i="10"/>
  <c r="A14" i="10"/>
  <c r="A15" i="10"/>
  <c r="C10" i="9" l="1"/>
  <c r="C7" i="9"/>
  <c r="C8" i="9" s="1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C8" i="10"/>
  <c r="B8" i="10"/>
  <c r="D6" i="17"/>
  <c r="G8" i="17" s="1"/>
  <c r="E6" i="17" l="1"/>
  <c r="G9" i="17" s="1"/>
  <c r="C18" i="18" l="1"/>
  <c r="B18" i="18"/>
  <c r="A18" i="18"/>
  <c r="C17" i="18"/>
  <c r="B17" i="18"/>
  <c r="A17" i="18"/>
  <c r="C16" i="18"/>
  <c r="B16" i="18"/>
  <c r="A16" i="18"/>
  <c r="C15" i="18"/>
  <c r="B15" i="18"/>
  <c r="A15" i="18"/>
  <c r="C14" i="18"/>
  <c r="B14" i="18"/>
  <c r="A14" i="18"/>
  <c r="C13" i="18"/>
  <c r="B13" i="18"/>
  <c r="A13" i="18"/>
  <c r="C12" i="18"/>
  <c r="B12" i="18"/>
  <c r="A12" i="18"/>
  <c r="C11" i="18"/>
  <c r="B11" i="18"/>
  <c r="A11" i="18"/>
  <c r="C10" i="18"/>
  <c r="B10" i="18"/>
  <c r="A10" i="18"/>
  <c r="C9" i="18"/>
  <c r="B9" i="18"/>
  <c r="A9" i="18"/>
  <c r="C8" i="18"/>
  <c r="B8" i="18"/>
  <c r="A8" i="18"/>
  <c r="A6" i="18" s="1"/>
  <c r="E7" i="17" l="1"/>
  <c r="D7" i="17"/>
  <c r="C7" i="17"/>
  <c r="B7" i="17"/>
  <c r="B4" i="16"/>
  <c r="B8" i="15"/>
  <c r="A8" i="15"/>
  <c r="B7" i="15"/>
  <c r="A7" i="15"/>
  <c r="I18" i="14"/>
  <c r="P22" i="14" s="1"/>
  <c r="H18" i="14"/>
  <c r="P21" i="14" s="1"/>
  <c r="G18" i="14"/>
  <c r="P20" i="14" s="1"/>
  <c r="F18" i="14"/>
  <c r="P19" i="14" s="1"/>
  <c r="E18" i="14"/>
  <c r="P18" i="14" s="1"/>
  <c r="D18" i="14"/>
  <c r="P17" i="14" s="1"/>
  <c r="C18" i="14"/>
  <c r="P16" i="14" s="1"/>
  <c r="B18" i="14"/>
  <c r="P15" i="14" s="1"/>
  <c r="I17" i="14"/>
  <c r="R13" i="14" s="1"/>
  <c r="H17" i="14"/>
  <c r="Q13" i="14" s="1"/>
  <c r="G17" i="14"/>
  <c r="P13" i="14" s="1"/>
  <c r="F17" i="14"/>
  <c r="O13" i="14" s="1"/>
  <c r="E17" i="14"/>
  <c r="N13" i="14" s="1"/>
  <c r="D17" i="14"/>
  <c r="M13" i="14" s="1"/>
  <c r="C17" i="14"/>
  <c r="L13" i="14" s="1"/>
  <c r="B17" i="14"/>
  <c r="K13" i="14" s="1"/>
  <c r="I16" i="14"/>
  <c r="O22" i="14" s="1"/>
  <c r="H16" i="14"/>
  <c r="O21" i="14" s="1"/>
  <c r="G16" i="14"/>
  <c r="O20" i="14" s="1"/>
  <c r="F16" i="14"/>
  <c r="O19" i="14" s="1"/>
  <c r="E16" i="14"/>
  <c r="O18" i="14" s="1"/>
  <c r="D16" i="14"/>
  <c r="O17" i="14" s="1"/>
  <c r="C16" i="14"/>
  <c r="O16" i="14" s="1"/>
  <c r="B16" i="14"/>
  <c r="O15" i="14" s="1"/>
  <c r="I15" i="14"/>
  <c r="R12" i="14" s="1"/>
  <c r="H15" i="14"/>
  <c r="Q12" i="14" s="1"/>
  <c r="G15" i="14"/>
  <c r="P12" i="14" s="1"/>
  <c r="F15" i="14"/>
  <c r="O12" i="14" s="1"/>
  <c r="E15" i="14"/>
  <c r="N12" i="14" s="1"/>
  <c r="D15" i="14"/>
  <c r="M12" i="14" s="1"/>
  <c r="C15" i="14"/>
  <c r="L12" i="14" s="1"/>
  <c r="B15" i="14"/>
  <c r="K12" i="14" s="1"/>
  <c r="I14" i="14"/>
  <c r="R11" i="14" s="1"/>
  <c r="H14" i="14"/>
  <c r="Q11" i="14" s="1"/>
  <c r="G14" i="14"/>
  <c r="P11" i="14" s="1"/>
  <c r="F14" i="14"/>
  <c r="O11" i="14" s="1"/>
  <c r="E14" i="14"/>
  <c r="N11" i="14" s="1"/>
  <c r="D14" i="14"/>
  <c r="M11" i="14" s="1"/>
  <c r="C14" i="14"/>
  <c r="L11" i="14" s="1"/>
  <c r="B14" i="14"/>
  <c r="K11" i="14" s="1"/>
  <c r="I13" i="14"/>
  <c r="N22" i="14" s="1"/>
  <c r="H13" i="14"/>
  <c r="N21" i="14" s="1"/>
  <c r="G13" i="14"/>
  <c r="N20" i="14" s="1"/>
  <c r="F13" i="14"/>
  <c r="N19" i="14" s="1"/>
  <c r="E13" i="14"/>
  <c r="N18" i="14" s="1"/>
  <c r="D13" i="14"/>
  <c r="N17" i="14" s="1"/>
  <c r="C13" i="14"/>
  <c r="N16" i="14" s="1"/>
  <c r="B13" i="14"/>
  <c r="N15" i="14" s="1"/>
  <c r="I12" i="14"/>
  <c r="R10" i="14" s="1"/>
  <c r="H12" i="14"/>
  <c r="Q10" i="14" s="1"/>
  <c r="G12" i="14"/>
  <c r="P10" i="14" s="1"/>
  <c r="F12" i="14"/>
  <c r="O10" i="14" s="1"/>
  <c r="E12" i="14"/>
  <c r="N10" i="14" s="1"/>
  <c r="D12" i="14"/>
  <c r="M10" i="14" s="1"/>
  <c r="C12" i="14"/>
  <c r="L10" i="14" s="1"/>
  <c r="B12" i="14"/>
  <c r="K10" i="14" s="1"/>
  <c r="I11" i="14"/>
  <c r="M22" i="14" s="1"/>
  <c r="H11" i="14"/>
  <c r="M21" i="14" s="1"/>
  <c r="G11" i="14"/>
  <c r="M20" i="14" s="1"/>
  <c r="F11" i="14"/>
  <c r="M19" i="14" s="1"/>
  <c r="E11" i="14"/>
  <c r="M18" i="14" s="1"/>
  <c r="D11" i="14"/>
  <c r="M17" i="14" s="1"/>
  <c r="C11" i="14"/>
  <c r="M16" i="14" s="1"/>
  <c r="B11" i="14"/>
  <c r="M15" i="14" s="1"/>
  <c r="I10" i="14"/>
  <c r="R9" i="14" s="1"/>
  <c r="H10" i="14"/>
  <c r="Q9" i="14" s="1"/>
  <c r="G10" i="14"/>
  <c r="P9" i="14" s="1"/>
  <c r="F10" i="14"/>
  <c r="O9" i="14" s="1"/>
  <c r="E10" i="14"/>
  <c r="N9" i="14" s="1"/>
  <c r="D10" i="14"/>
  <c r="M9" i="14" s="1"/>
  <c r="C10" i="14"/>
  <c r="L9" i="14" s="1"/>
  <c r="B10" i="14"/>
  <c r="K9" i="14" s="1"/>
  <c r="I9" i="14"/>
  <c r="R8" i="14" s="1"/>
  <c r="H9" i="14"/>
  <c r="Q8" i="14" s="1"/>
  <c r="G9" i="14"/>
  <c r="P8" i="14" s="1"/>
  <c r="F9" i="14"/>
  <c r="O8" i="14" s="1"/>
  <c r="E9" i="14"/>
  <c r="N8" i="14" s="1"/>
  <c r="D9" i="14"/>
  <c r="M8" i="14" s="1"/>
  <c r="C9" i="14"/>
  <c r="L8" i="14" s="1"/>
  <c r="B9" i="14"/>
  <c r="K8" i="14" s="1"/>
  <c r="I8" i="14"/>
  <c r="L22" i="14" s="1"/>
  <c r="H8" i="14"/>
  <c r="L21" i="14" s="1"/>
  <c r="G8" i="14"/>
  <c r="L20" i="14" s="1"/>
  <c r="F8" i="14"/>
  <c r="L19" i="14" s="1"/>
  <c r="E8" i="14"/>
  <c r="L18" i="14" s="1"/>
  <c r="D8" i="14"/>
  <c r="L17" i="14" s="1"/>
  <c r="C8" i="14"/>
  <c r="L16" i="14" s="1"/>
  <c r="B8" i="14"/>
  <c r="L15" i="14" s="1"/>
  <c r="I7" i="14"/>
  <c r="R7" i="14" s="1"/>
  <c r="H7" i="14"/>
  <c r="Q7" i="14" s="1"/>
  <c r="G7" i="14"/>
  <c r="P7" i="14" s="1"/>
  <c r="F7" i="14"/>
  <c r="O7" i="14" s="1"/>
  <c r="E7" i="14"/>
  <c r="N7" i="14" s="1"/>
  <c r="D7" i="14"/>
  <c r="M7" i="14" s="1"/>
  <c r="C7" i="14"/>
  <c r="L7" i="14" s="1"/>
  <c r="B7" i="14"/>
  <c r="K7" i="14" s="1"/>
  <c r="I6" i="14"/>
  <c r="K22" i="14" s="1"/>
  <c r="H6" i="14"/>
  <c r="K21" i="14" s="1"/>
  <c r="G6" i="14"/>
  <c r="K20" i="14" s="1"/>
  <c r="F6" i="14"/>
  <c r="K19" i="14" s="1"/>
  <c r="E6" i="14"/>
  <c r="D6" i="14"/>
  <c r="C6" i="14"/>
  <c r="K16" i="14" s="1"/>
  <c r="B6" i="14"/>
  <c r="K15" i="14" s="1"/>
  <c r="I5" i="14"/>
  <c r="R6" i="14" s="1"/>
  <c r="H5" i="14"/>
  <c r="Q6" i="14" s="1"/>
  <c r="G5" i="14"/>
  <c r="P6" i="14" s="1"/>
  <c r="F5" i="14"/>
  <c r="O6" i="14" s="1"/>
  <c r="E5" i="14"/>
  <c r="N6" i="14" s="1"/>
  <c r="D5" i="14"/>
  <c r="M6" i="14" s="1"/>
  <c r="C5" i="14"/>
  <c r="L6" i="14" s="1"/>
  <c r="B5" i="14"/>
  <c r="K6" i="14" s="1"/>
  <c r="I4" i="14"/>
  <c r="B29" i="14" s="1"/>
  <c r="H4" i="14"/>
  <c r="B28" i="14" s="1"/>
  <c r="G4" i="14"/>
  <c r="B27" i="14" s="1"/>
  <c r="F4" i="14"/>
  <c r="B26" i="14" s="1"/>
  <c r="E4" i="14"/>
  <c r="D4" i="14"/>
  <c r="C4" i="14"/>
  <c r="B23" i="14" s="1"/>
  <c r="B4" i="14"/>
  <c r="B22" i="14" s="1"/>
  <c r="F16" i="13"/>
  <c r="B16" i="13"/>
  <c r="F15" i="13"/>
  <c r="B15" i="13"/>
  <c r="F14" i="13"/>
  <c r="B14" i="13"/>
  <c r="F13" i="13"/>
  <c r="B13" i="13"/>
  <c r="F12" i="13"/>
  <c r="B12" i="13"/>
  <c r="F11" i="13"/>
  <c r="B11" i="13"/>
  <c r="F10" i="13"/>
  <c r="B10" i="13"/>
  <c r="F9" i="13"/>
  <c r="B9" i="13"/>
  <c r="F8" i="13"/>
  <c r="B8" i="13"/>
  <c r="F7" i="13"/>
  <c r="B7" i="13"/>
  <c r="F16" i="12"/>
  <c r="B16" i="12"/>
  <c r="F15" i="12"/>
  <c r="B15" i="12"/>
  <c r="F14" i="12"/>
  <c r="B14" i="12"/>
  <c r="F13" i="12"/>
  <c r="B13" i="12"/>
  <c r="F12" i="12"/>
  <c r="B12" i="12"/>
  <c r="F11" i="12"/>
  <c r="B11" i="12"/>
  <c r="F10" i="12"/>
  <c r="B10" i="12"/>
  <c r="F9" i="12"/>
  <c r="B9" i="12"/>
  <c r="F8" i="12"/>
  <c r="B8" i="12"/>
  <c r="F7" i="12"/>
  <c r="B7" i="12"/>
  <c r="I37" i="11"/>
  <c r="K143" i="11" s="1"/>
  <c r="H37" i="11"/>
  <c r="K142" i="11" s="1"/>
  <c r="G37" i="11"/>
  <c r="K141" i="11" s="1"/>
  <c r="F37" i="11"/>
  <c r="K140" i="11" s="1"/>
  <c r="E37" i="11"/>
  <c r="K139" i="11" s="1"/>
  <c r="D37" i="11"/>
  <c r="K138" i="11" s="1"/>
  <c r="C37" i="11"/>
  <c r="K137" i="11" s="1"/>
  <c r="B37" i="11"/>
  <c r="K136" i="11" s="1"/>
  <c r="I36" i="11"/>
  <c r="R22" i="11" s="1"/>
  <c r="H36" i="11"/>
  <c r="Q22" i="11" s="1"/>
  <c r="G36" i="11"/>
  <c r="P22" i="11" s="1"/>
  <c r="F36" i="11"/>
  <c r="O22" i="11" s="1"/>
  <c r="E36" i="11"/>
  <c r="N22" i="11" s="1"/>
  <c r="D36" i="11"/>
  <c r="M22" i="11" s="1"/>
  <c r="C36" i="11"/>
  <c r="L22" i="11" s="1"/>
  <c r="B36" i="11"/>
  <c r="K22" i="11" s="1"/>
  <c r="I35" i="11"/>
  <c r="K135" i="11" s="1"/>
  <c r="H35" i="11"/>
  <c r="K134" i="11" s="1"/>
  <c r="G35" i="11"/>
  <c r="K133" i="11" s="1"/>
  <c r="F35" i="11"/>
  <c r="K132" i="11" s="1"/>
  <c r="E35" i="11"/>
  <c r="K131" i="11" s="1"/>
  <c r="D35" i="11"/>
  <c r="K130" i="11" s="1"/>
  <c r="C35" i="11"/>
  <c r="K129" i="11" s="1"/>
  <c r="B35" i="11"/>
  <c r="K128" i="11" s="1"/>
  <c r="I34" i="11"/>
  <c r="R21" i="11" s="1"/>
  <c r="H34" i="11"/>
  <c r="Q21" i="11" s="1"/>
  <c r="G34" i="11"/>
  <c r="P21" i="11" s="1"/>
  <c r="F34" i="11"/>
  <c r="O21" i="11" s="1"/>
  <c r="E34" i="11"/>
  <c r="N21" i="11" s="1"/>
  <c r="D34" i="11"/>
  <c r="M21" i="11" s="1"/>
  <c r="C34" i="11"/>
  <c r="L21" i="11" s="1"/>
  <c r="B34" i="11"/>
  <c r="K21" i="11" s="1"/>
  <c r="I33" i="11"/>
  <c r="K127" i="11" s="1"/>
  <c r="H33" i="11"/>
  <c r="K126" i="11" s="1"/>
  <c r="G33" i="11"/>
  <c r="K125" i="11" s="1"/>
  <c r="F33" i="11"/>
  <c r="K124" i="11" s="1"/>
  <c r="E33" i="11"/>
  <c r="K123" i="11" s="1"/>
  <c r="D33" i="11"/>
  <c r="K122" i="11" s="1"/>
  <c r="C33" i="11"/>
  <c r="K121" i="11" s="1"/>
  <c r="B33" i="11"/>
  <c r="K120" i="11" s="1"/>
  <c r="I32" i="11"/>
  <c r="R20" i="11" s="1"/>
  <c r="H32" i="11"/>
  <c r="Q20" i="11" s="1"/>
  <c r="G32" i="11"/>
  <c r="P20" i="11" s="1"/>
  <c r="F32" i="11"/>
  <c r="O20" i="11" s="1"/>
  <c r="E32" i="11"/>
  <c r="N20" i="11" s="1"/>
  <c r="D32" i="11"/>
  <c r="M20" i="11" s="1"/>
  <c r="C32" i="11"/>
  <c r="L20" i="11" s="1"/>
  <c r="B32" i="11"/>
  <c r="K20" i="11" s="1"/>
  <c r="I31" i="11"/>
  <c r="K119" i="11" s="1"/>
  <c r="H31" i="11"/>
  <c r="K118" i="11" s="1"/>
  <c r="G31" i="11"/>
  <c r="K117" i="11" s="1"/>
  <c r="F31" i="11"/>
  <c r="K116" i="11" s="1"/>
  <c r="E31" i="11"/>
  <c r="K115" i="11" s="1"/>
  <c r="D31" i="11"/>
  <c r="K114" i="11" s="1"/>
  <c r="C31" i="11"/>
  <c r="K113" i="11" s="1"/>
  <c r="B31" i="11"/>
  <c r="K112" i="11" s="1"/>
  <c r="I30" i="11"/>
  <c r="R19" i="11" s="1"/>
  <c r="H30" i="11"/>
  <c r="Q19" i="11" s="1"/>
  <c r="G30" i="11"/>
  <c r="P19" i="11" s="1"/>
  <c r="F30" i="11"/>
  <c r="O19" i="11" s="1"/>
  <c r="E30" i="11"/>
  <c r="N19" i="11" s="1"/>
  <c r="D30" i="11"/>
  <c r="M19" i="11" s="1"/>
  <c r="C30" i="11"/>
  <c r="L19" i="11" s="1"/>
  <c r="B30" i="11"/>
  <c r="K19" i="11" s="1"/>
  <c r="I29" i="11"/>
  <c r="K111" i="11" s="1"/>
  <c r="H29" i="11"/>
  <c r="K110" i="11" s="1"/>
  <c r="G29" i="11"/>
  <c r="K109" i="11" s="1"/>
  <c r="F29" i="11"/>
  <c r="K108" i="11" s="1"/>
  <c r="E29" i="11"/>
  <c r="K107" i="11" s="1"/>
  <c r="D29" i="11"/>
  <c r="K106" i="11" s="1"/>
  <c r="C29" i="11"/>
  <c r="K105" i="11" s="1"/>
  <c r="B29" i="11"/>
  <c r="K104" i="11" s="1"/>
  <c r="I28" i="11"/>
  <c r="R18" i="11" s="1"/>
  <c r="H28" i="11"/>
  <c r="Q18" i="11" s="1"/>
  <c r="G28" i="11"/>
  <c r="P18" i="11" s="1"/>
  <c r="F28" i="11"/>
  <c r="O18" i="11" s="1"/>
  <c r="E28" i="11"/>
  <c r="N18" i="11" s="1"/>
  <c r="D28" i="11"/>
  <c r="M18" i="11" s="1"/>
  <c r="C28" i="11"/>
  <c r="L18" i="11" s="1"/>
  <c r="B28" i="11"/>
  <c r="K18" i="11" s="1"/>
  <c r="I27" i="11"/>
  <c r="K103" i="11" s="1"/>
  <c r="H27" i="11"/>
  <c r="K102" i="11" s="1"/>
  <c r="G27" i="11"/>
  <c r="K101" i="11" s="1"/>
  <c r="F27" i="11"/>
  <c r="K100" i="11" s="1"/>
  <c r="E27" i="11"/>
  <c r="K99" i="11" s="1"/>
  <c r="D27" i="11"/>
  <c r="K98" i="11" s="1"/>
  <c r="C27" i="11"/>
  <c r="K97" i="11" s="1"/>
  <c r="B27" i="11"/>
  <c r="K96" i="11" s="1"/>
  <c r="I26" i="11"/>
  <c r="R17" i="11" s="1"/>
  <c r="H26" i="11"/>
  <c r="Q17" i="11" s="1"/>
  <c r="G26" i="11"/>
  <c r="P17" i="11" s="1"/>
  <c r="F26" i="11"/>
  <c r="O17" i="11" s="1"/>
  <c r="E26" i="11"/>
  <c r="N17" i="11" s="1"/>
  <c r="D26" i="11"/>
  <c r="M17" i="11" s="1"/>
  <c r="C26" i="11"/>
  <c r="L17" i="11" s="1"/>
  <c r="B26" i="11"/>
  <c r="K17" i="11" s="1"/>
  <c r="I25" i="11"/>
  <c r="K95" i="11" s="1"/>
  <c r="H25" i="11"/>
  <c r="K94" i="11" s="1"/>
  <c r="G25" i="11"/>
  <c r="K93" i="11" s="1"/>
  <c r="F25" i="11"/>
  <c r="K92" i="11" s="1"/>
  <c r="E25" i="11"/>
  <c r="K91" i="11" s="1"/>
  <c r="D25" i="11"/>
  <c r="K90" i="11" s="1"/>
  <c r="C25" i="11"/>
  <c r="K89" i="11" s="1"/>
  <c r="B25" i="11"/>
  <c r="K88" i="11" s="1"/>
  <c r="I24" i="11"/>
  <c r="R16" i="11" s="1"/>
  <c r="H24" i="11"/>
  <c r="Q16" i="11" s="1"/>
  <c r="G24" i="11"/>
  <c r="P16" i="11" s="1"/>
  <c r="F24" i="11"/>
  <c r="O16" i="11" s="1"/>
  <c r="E24" i="11"/>
  <c r="N16" i="11" s="1"/>
  <c r="D24" i="11"/>
  <c r="M16" i="11" s="1"/>
  <c r="C24" i="11"/>
  <c r="L16" i="11" s="1"/>
  <c r="B24" i="11"/>
  <c r="K16" i="11" s="1"/>
  <c r="I23" i="11"/>
  <c r="K87" i="11" s="1"/>
  <c r="H23" i="11"/>
  <c r="K86" i="11" s="1"/>
  <c r="G23" i="11"/>
  <c r="K85" i="11" s="1"/>
  <c r="F23" i="11"/>
  <c r="K84" i="11" s="1"/>
  <c r="E23" i="11"/>
  <c r="K83" i="11" s="1"/>
  <c r="D23" i="11"/>
  <c r="K82" i="11" s="1"/>
  <c r="C23" i="11"/>
  <c r="K81" i="11" s="1"/>
  <c r="B23" i="11"/>
  <c r="K80" i="11" s="1"/>
  <c r="I22" i="11"/>
  <c r="R15" i="11" s="1"/>
  <c r="H22" i="11"/>
  <c r="Q15" i="11" s="1"/>
  <c r="G22" i="11"/>
  <c r="P15" i="11" s="1"/>
  <c r="F22" i="11"/>
  <c r="O15" i="11" s="1"/>
  <c r="E22" i="11"/>
  <c r="N15" i="11" s="1"/>
  <c r="D22" i="11"/>
  <c r="M15" i="11" s="1"/>
  <c r="C22" i="11"/>
  <c r="L15" i="11" s="1"/>
  <c r="B22" i="11"/>
  <c r="K15" i="11" s="1"/>
  <c r="I21" i="11"/>
  <c r="K79" i="11" s="1"/>
  <c r="H21" i="11"/>
  <c r="K78" i="11" s="1"/>
  <c r="G21" i="11"/>
  <c r="K77" i="11" s="1"/>
  <c r="F21" i="11"/>
  <c r="K76" i="11" s="1"/>
  <c r="E21" i="11"/>
  <c r="K75" i="11" s="1"/>
  <c r="D21" i="11"/>
  <c r="K74" i="11" s="1"/>
  <c r="C21" i="11"/>
  <c r="K73" i="11" s="1"/>
  <c r="B21" i="11"/>
  <c r="K72" i="11" s="1"/>
  <c r="I20" i="11"/>
  <c r="R14" i="11" s="1"/>
  <c r="H20" i="11"/>
  <c r="Q14" i="11" s="1"/>
  <c r="G20" i="11"/>
  <c r="P14" i="11" s="1"/>
  <c r="F20" i="11"/>
  <c r="O14" i="11" s="1"/>
  <c r="E20" i="11"/>
  <c r="N14" i="11" s="1"/>
  <c r="D20" i="11"/>
  <c r="M14" i="11" s="1"/>
  <c r="C20" i="11"/>
  <c r="L14" i="11" s="1"/>
  <c r="B20" i="11"/>
  <c r="K14" i="11" s="1"/>
  <c r="I19" i="11"/>
  <c r="K71" i="11" s="1"/>
  <c r="H19" i="11"/>
  <c r="K70" i="11" s="1"/>
  <c r="G19" i="11"/>
  <c r="K69" i="11" s="1"/>
  <c r="F19" i="11"/>
  <c r="K68" i="11" s="1"/>
  <c r="E19" i="11"/>
  <c r="K67" i="11" s="1"/>
  <c r="D19" i="11"/>
  <c r="K66" i="11" s="1"/>
  <c r="C19" i="11"/>
  <c r="K65" i="11" s="1"/>
  <c r="B19" i="11"/>
  <c r="K64" i="11" s="1"/>
  <c r="I18" i="11"/>
  <c r="R13" i="11" s="1"/>
  <c r="H18" i="11"/>
  <c r="Q13" i="11" s="1"/>
  <c r="G18" i="11"/>
  <c r="P13" i="11" s="1"/>
  <c r="F18" i="11"/>
  <c r="O13" i="11" s="1"/>
  <c r="E18" i="11"/>
  <c r="N13" i="11" s="1"/>
  <c r="D18" i="11"/>
  <c r="M13" i="11" s="1"/>
  <c r="C18" i="11"/>
  <c r="L13" i="11" s="1"/>
  <c r="B18" i="11"/>
  <c r="K13" i="11" s="1"/>
  <c r="I17" i="11"/>
  <c r="K63" i="11" s="1"/>
  <c r="H17" i="11"/>
  <c r="K62" i="11" s="1"/>
  <c r="G17" i="11"/>
  <c r="K61" i="11" s="1"/>
  <c r="F17" i="11"/>
  <c r="K60" i="11" s="1"/>
  <c r="E17" i="11"/>
  <c r="K59" i="11" s="1"/>
  <c r="D17" i="11"/>
  <c r="K58" i="11" s="1"/>
  <c r="C17" i="11"/>
  <c r="K57" i="11" s="1"/>
  <c r="B17" i="11"/>
  <c r="K56" i="11" s="1"/>
  <c r="I16" i="11"/>
  <c r="R12" i="11" s="1"/>
  <c r="H16" i="11"/>
  <c r="Q12" i="11" s="1"/>
  <c r="G16" i="11"/>
  <c r="P12" i="11" s="1"/>
  <c r="F16" i="11"/>
  <c r="O12" i="11" s="1"/>
  <c r="E16" i="11"/>
  <c r="N12" i="11" s="1"/>
  <c r="D16" i="11"/>
  <c r="M12" i="11" s="1"/>
  <c r="C16" i="11"/>
  <c r="L12" i="11" s="1"/>
  <c r="B16" i="11"/>
  <c r="K12" i="11" s="1"/>
  <c r="I15" i="11"/>
  <c r="K55" i="11" s="1"/>
  <c r="H15" i="11"/>
  <c r="K54" i="11" s="1"/>
  <c r="G15" i="11"/>
  <c r="K53" i="11" s="1"/>
  <c r="F15" i="11"/>
  <c r="K52" i="11" s="1"/>
  <c r="E15" i="11"/>
  <c r="K51" i="11" s="1"/>
  <c r="D15" i="11"/>
  <c r="K50" i="11" s="1"/>
  <c r="C15" i="11"/>
  <c r="K49" i="11" s="1"/>
  <c r="B15" i="11"/>
  <c r="K48" i="11" s="1"/>
  <c r="I14" i="11"/>
  <c r="R11" i="11" s="1"/>
  <c r="H14" i="11"/>
  <c r="Q11" i="11" s="1"/>
  <c r="G14" i="11"/>
  <c r="P11" i="11" s="1"/>
  <c r="F14" i="11"/>
  <c r="O11" i="11" s="1"/>
  <c r="E14" i="11"/>
  <c r="N11" i="11" s="1"/>
  <c r="D14" i="11"/>
  <c r="M11" i="11" s="1"/>
  <c r="C14" i="11"/>
  <c r="L11" i="11" s="1"/>
  <c r="B14" i="11"/>
  <c r="K11" i="11" s="1"/>
  <c r="I13" i="11"/>
  <c r="K47" i="11" s="1"/>
  <c r="H13" i="11"/>
  <c r="K46" i="11" s="1"/>
  <c r="G13" i="11"/>
  <c r="K45" i="11" s="1"/>
  <c r="F13" i="11"/>
  <c r="K44" i="11" s="1"/>
  <c r="E13" i="11"/>
  <c r="K43" i="11" s="1"/>
  <c r="D13" i="11"/>
  <c r="K42" i="11" s="1"/>
  <c r="C13" i="11"/>
  <c r="K41" i="11" s="1"/>
  <c r="B13" i="11"/>
  <c r="K40" i="11" s="1"/>
  <c r="I12" i="11"/>
  <c r="R10" i="11" s="1"/>
  <c r="H12" i="11"/>
  <c r="Q10" i="11" s="1"/>
  <c r="G12" i="11"/>
  <c r="P10" i="11" s="1"/>
  <c r="F12" i="11"/>
  <c r="O10" i="11" s="1"/>
  <c r="E12" i="11"/>
  <c r="N10" i="11" s="1"/>
  <c r="D12" i="11"/>
  <c r="M10" i="11" s="1"/>
  <c r="C12" i="11"/>
  <c r="L10" i="11" s="1"/>
  <c r="B12" i="11"/>
  <c r="K10" i="11" s="1"/>
  <c r="I11" i="11"/>
  <c r="K39" i="11" s="1"/>
  <c r="H11" i="11"/>
  <c r="K38" i="11" s="1"/>
  <c r="G11" i="11"/>
  <c r="K37" i="11" s="1"/>
  <c r="F11" i="11"/>
  <c r="K36" i="11" s="1"/>
  <c r="E11" i="11"/>
  <c r="K35" i="11" s="1"/>
  <c r="D11" i="11"/>
  <c r="K34" i="11" s="1"/>
  <c r="C11" i="11"/>
  <c r="K33" i="11" s="1"/>
  <c r="B11" i="11"/>
  <c r="K32" i="11" s="1"/>
  <c r="I10" i="11"/>
  <c r="R9" i="11" s="1"/>
  <c r="H10" i="11"/>
  <c r="Q9" i="11" s="1"/>
  <c r="G10" i="11"/>
  <c r="P9" i="11" s="1"/>
  <c r="F10" i="11"/>
  <c r="O9" i="11" s="1"/>
  <c r="E10" i="11"/>
  <c r="N9" i="11" s="1"/>
  <c r="D10" i="11"/>
  <c r="M9" i="11" s="1"/>
  <c r="C10" i="11"/>
  <c r="L9" i="11" s="1"/>
  <c r="B10" i="11"/>
  <c r="K9" i="11" s="1"/>
  <c r="I9" i="11"/>
  <c r="K31" i="11" s="1"/>
  <c r="H9" i="11"/>
  <c r="K30" i="11" s="1"/>
  <c r="G9" i="11"/>
  <c r="K29" i="11" s="1"/>
  <c r="F9" i="11"/>
  <c r="K28" i="11" s="1"/>
  <c r="E9" i="11"/>
  <c r="K27" i="11" s="1"/>
  <c r="D9" i="11"/>
  <c r="K26" i="11" s="1"/>
  <c r="C9" i="11"/>
  <c r="K25" i="11" s="1"/>
  <c r="B9" i="11"/>
  <c r="K24" i="11" s="1"/>
  <c r="I8" i="11"/>
  <c r="R8" i="11" s="1"/>
  <c r="H8" i="11"/>
  <c r="Q8" i="11" s="1"/>
  <c r="G8" i="11"/>
  <c r="P8" i="11" s="1"/>
  <c r="F8" i="11"/>
  <c r="O8" i="11" s="1"/>
  <c r="E8" i="11"/>
  <c r="N8" i="11" s="1"/>
  <c r="D8" i="11"/>
  <c r="M8" i="11" s="1"/>
  <c r="C8" i="11"/>
  <c r="L8" i="11" s="1"/>
  <c r="B8" i="11"/>
  <c r="K8" i="11" s="1"/>
  <c r="I7" i="11"/>
  <c r="B48" i="11" s="1"/>
  <c r="H7" i="11"/>
  <c r="B47" i="11" s="1"/>
  <c r="G7" i="11"/>
  <c r="B46" i="11" s="1"/>
  <c r="F7" i="11"/>
  <c r="B45" i="11" s="1"/>
  <c r="E7" i="11"/>
  <c r="B44" i="11" s="1"/>
  <c r="D7" i="11"/>
  <c r="C7" i="11"/>
  <c r="B42" i="11" s="1"/>
  <c r="B7" i="11"/>
  <c r="B41" i="11" s="1"/>
  <c r="A5" i="10"/>
  <c r="J22" i="8"/>
  <c r="I35" i="8" s="1"/>
  <c r="I22" i="8"/>
  <c r="I34" i="8" s="1"/>
  <c r="H22" i="8"/>
  <c r="I33" i="8" s="1"/>
  <c r="G22" i="8"/>
  <c r="I32" i="8" s="1"/>
  <c r="F22" i="8"/>
  <c r="I31" i="8" s="1"/>
  <c r="E22" i="8"/>
  <c r="I30" i="8" s="1"/>
  <c r="D22" i="8"/>
  <c r="I29" i="8" s="1"/>
  <c r="C22" i="8"/>
  <c r="I28" i="8" s="1"/>
  <c r="B22" i="8"/>
  <c r="I27" i="8" s="1"/>
  <c r="J21" i="8"/>
  <c r="H35" i="8" s="1"/>
  <c r="I21" i="8"/>
  <c r="H34" i="8" s="1"/>
  <c r="H21" i="8"/>
  <c r="H33" i="8" s="1"/>
  <c r="G21" i="8"/>
  <c r="H32" i="8" s="1"/>
  <c r="F21" i="8"/>
  <c r="H31" i="8" s="1"/>
  <c r="E21" i="8"/>
  <c r="H30" i="8" s="1"/>
  <c r="D21" i="8"/>
  <c r="H29" i="8" s="1"/>
  <c r="C21" i="8"/>
  <c r="H28" i="8" s="1"/>
  <c r="B21" i="8"/>
  <c r="H27" i="8" s="1"/>
  <c r="J19" i="8"/>
  <c r="I19" i="8"/>
  <c r="H19" i="8"/>
  <c r="G19" i="8"/>
  <c r="F19" i="8"/>
  <c r="E19" i="8"/>
  <c r="D19" i="8"/>
  <c r="C19" i="8"/>
  <c r="B19" i="8"/>
  <c r="J18" i="8"/>
  <c r="I18" i="8"/>
  <c r="H18" i="8"/>
  <c r="G18" i="8"/>
  <c r="F18" i="8"/>
  <c r="E18" i="8"/>
  <c r="D18" i="8"/>
  <c r="C18" i="8"/>
  <c r="B18" i="8"/>
  <c r="J17" i="8"/>
  <c r="I17" i="8"/>
  <c r="H17" i="8"/>
  <c r="G17" i="8"/>
  <c r="F17" i="8"/>
  <c r="E17" i="8"/>
  <c r="D17" i="8"/>
  <c r="C17" i="8"/>
  <c r="B17" i="8"/>
  <c r="J16" i="8"/>
  <c r="I16" i="8"/>
  <c r="H16" i="8"/>
  <c r="G16" i="8"/>
  <c r="F16" i="8"/>
  <c r="E16" i="8"/>
  <c r="D16" i="8"/>
  <c r="C16" i="8"/>
  <c r="B16" i="8"/>
  <c r="J15" i="8"/>
  <c r="I15" i="8"/>
  <c r="H15" i="8"/>
  <c r="G15" i="8"/>
  <c r="F15" i="8"/>
  <c r="E15" i="8"/>
  <c r="D15" i="8"/>
  <c r="C15" i="8"/>
  <c r="B15" i="8"/>
  <c r="J13" i="8"/>
  <c r="F35" i="8" s="1"/>
  <c r="I13" i="8"/>
  <c r="F34" i="8" s="1"/>
  <c r="H13" i="8"/>
  <c r="F33" i="8" s="1"/>
  <c r="G13" i="8"/>
  <c r="F32" i="8" s="1"/>
  <c r="F13" i="8"/>
  <c r="F31" i="8" s="1"/>
  <c r="E13" i="8"/>
  <c r="F30" i="8" s="1"/>
  <c r="D13" i="8"/>
  <c r="F29" i="8" s="1"/>
  <c r="C13" i="8"/>
  <c r="F28" i="8" s="1"/>
  <c r="B13" i="8"/>
  <c r="F27" i="8" s="1"/>
  <c r="J12" i="8"/>
  <c r="E35" i="8" s="1"/>
  <c r="I12" i="8"/>
  <c r="E34" i="8" s="1"/>
  <c r="H12" i="8"/>
  <c r="E33" i="8" s="1"/>
  <c r="G12" i="8"/>
  <c r="E32" i="8" s="1"/>
  <c r="F12" i="8"/>
  <c r="E31" i="8" s="1"/>
  <c r="E12" i="8"/>
  <c r="E30" i="8" s="1"/>
  <c r="D12" i="8"/>
  <c r="E29" i="8" s="1"/>
  <c r="C12" i="8"/>
  <c r="E28" i="8" s="1"/>
  <c r="B12" i="8"/>
  <c r="E27" i="8" s="1"/>
  <c r="J11" i="8"/>
  <c r="D35" i="8" s="1"/>
  <c r="I11" i="8"/>
  <c r="D34" i="8" s="1"/>
  <c r="H11" i="8"/>
  <c r="D33" i="8" s="1"/>
  <c r="G11" i="8"/>
  <c r="D32" i="8" s="1"/>
  <c r="F11" i="8"/>
  <c r="D31" i="8" s="1"/>
  <c r="E11" i="8"/>
  <c r="D30" i="8" s="1"/>
  <c r="D11" i="8"/>
  <c r="D29" i="8" s="1"/>
  <c r="C11" i="8"/>
  <c r="D28" i="8" s="1"/>
  <c r="B11" i="8"/>
  <c r="D27" i="8" s="1"/>
  <c r="J10" i="8"/>
  <c r="C35" i="8" s="1"/>
  <c r="I10" i="8"/>
  <c r="C34" i="8" s="1"/>
  <c r="H10" i="8"/>
  <c r="C33" i="8" s="1"/>
  <c r="G10" i="8"/>
  <c r="C32" i="8" s="1"/>
  <c r="F10" i="8"/>
  <c r="C31" i="8" s="1"/>
  <c r="E10" i="8"/>
  <c r="C30" i="8" s="1"/>
  <c r="D10" i="8"/>
  <c r="C29" i="8" s="1"/>
  <c r="C10" i="8"/>
  <c r="C28" i="8" s="1"/>
  <c r="B10" i="8"/>
  <c r="C27" i="8" s="1"/>
  <c r="J9" i="8"/>
  <c r="B35" i="8" s="1"/>
  <c r="I9" i="8"/>
  <c r="B34" i="8" s="1"/>
  <c r="H9" i="8"/>
  <c r="B33" i="8" s="1"/>
  <c r="G9" i="8"/>
  <c r="B32" i="8" s="1"/>
  <c r="F9" i="8"/>
  <c r="B31" i="8" s="1"/>
  <c r="E9" i="8"/>
  <c r="B30" i="8" s="1"/>
  <c r="D9" i="8"/>
  <c r="B29" i="8" s="1"/>
  <c r="C9" i="8"/>
  <c r="B28" i="8" s="1"/>
  <c r="B9" i="8"/>
  <c r="B27" i="8" s="1"/>
  <c r="J8" i="8"/>
  <c r="I8" i="8"/>
  <c r="H8" i="8"/>
  <c r="G8" i="8"/>
  <c r="F8" i="8"/>
  <c r="E8" i="8"/>
  <c r="D8" i="8"/>
  <c r="C8" i="8"/>
  <c r="B8" i="8"/>
  <c r="J7" i="8"/>
  <c r="I7" i="8"/>
  <c r="H7" i="8"/>
  <c r="G7" i="8"/>
  <c r="F7" i="8"/>
  <c r="E7" i="8"/>
  <c r="D7" i="8"/>
  <c r="C7" i="8"/>
  <c r="B7" i="8"/>
  <c r="B10" i="6"/>
  <c r="B9" i="6"/>
  <c r="B8" i="6"/>
  <c r="A5" i="6"/>
  <c r="B5" i="5"/>
  <c r="A5" i="5"/>
  <c r="D15" i="4"/>
  <c r="C15" i="4"/>
  <c r="B15" i="4"/>
  <c r="A15" i="4"/>
  <c r="D14" i="4"/>
  <c r="C14" i="4"/>
  <c r="B14" i="4"/>
  <c r="A14" i="4"/>
  <c r="D13" i="4"/>
  <c r="C13" i="4"/>
  <c r="B13" i="4"/>
  <c r="A13" i="4"/>
  <c r="D12" i="4"/>
  <c r="C12" i="4"/>
  <c r="B12" i="4"/>
  <c r="A12" i="4"/>
  <c r="D11" i="4"/>
  <c r="C11" i="4"/>
  <c r="B11" i="4"/>
  <c r="A11" i="4"/>
  <c r="D10" i="4"/>
  <c r="C10" i="4"/>
  <c r="B10" i="4"/>
  <c r="A10" i="4"/>
  <c r="D9" i="4"/>
  <c r="C9" i="4"/>
  <c r="B9" i="4"/>
  <c r="A9" i="4"/>
  <c r="D8" i="4"/>
  <c r="C8" i="4"/>
  <c r="B8" i="4"/>
  <c r="A8" i="4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A6" i="3" s="1"/>
  <c r="D15" i="2"/>
  <c r="C15" i="2"/>
  <c r="B15" i="2"/>
  <c r="D14" i="2"/>
  <c r="L11" i="2" s="1"/>
  <c r="C14" i="2"/>
  <c r="L10" i="2" s="1"/>
  <c r="B14" i="2"/>
  <c r="L9" i="2" s="1"/>
  <c r="D13" i="2"/>
  <c r="K11" i="2" s="1"/>
  <c r="C13" i="2"/>
  <c r="K10" i="2" s="1"/>
  <c r="B13" i="2"/>
  <c r="K9" i="2" s="1"/>
  <c r="D12" i="2"/>
  <c r="J11" i="2" s="1"/>
  <c r="C12" i="2"/>
  <c r="J10" i="2" s="1"/>
  <c r="B12" i="2"/>
  <c r="J9" i="2" s="1"/>
  <c r="D11" i="2"/>
  <c r="I11" i="2" s="1"/>
  <c r="C11" i="2"/>
  <c r="I10" i="2" s="1"/>
  <c r="B11" i="2"/>
  <c r="I9" i="2" s="1"/>
  <c r="D10" i="2"/>
  <c r="H11" i="2" s="1"/>
  <c r="C10" i="2"/>
  <c r="H10" i="2" s="1"/>
  <c r="B10" i="2"/>
  <c r="H9" i="2" s="1"/>
  <c r="D9" i="2"/>
  <c r="G11" i="2" s="1"/>
  <c r="C9" i="2"/>
  <c r="G10" i="2" s="1"/>
  <c r="B9" i="2"/>
  <c r="G9" i="2" s="1"/>
  <c r="A5" i="2"/>
  <c r="C43" i="11" l="1"/>
  <c r="B43" i="11"/>
  <c r="I6" i="17"/>
  <c r="B24" i="14"/>
  <c r="H6" i="17"/>
  <c r="C24" i="14"/>
  <c r="B5" i="17"/>
  <c r="C5" i="17"/>
  <c r="H7" i="17"/>
  <c r="B25" i="14"/>
  <c r="B6" i="17"/>
  <c r="G6" i="17" s="1"/>
  <c r="K17" i="14"/>
  <c r="C6" i="17"/>
  <c r="G7" i="17" s="1"/>
  <c r="K18" i="14"/>
  <c r="F6" i="12"/>
  <c r="F6" i="13"/>
  <c r="B6" i="12"/>
  <c r="B6" i="13"/>
  <c r="C280" i="1"/>
  <c r="B280" i="1"/>
  <c r="A280" i="1"/>
  <c r="C279" i="1"/>
  <c r="B279" i="1"/>
  <c r="A279" i="1"/>
  <c r="C278" i="1"/>
  <c r="B278" i="1"/>
  <c r="A278" i="1"/>
  <c r="C277" i="1"/>
  <c r="B277" i="1"/>
  <c r="A277" i="1"/>
  <c r="C276" i="1"/>
  <c r="B276" i="1"/>
  <c r="A276" i="1"/>
  <c r="C275" i="1"/>
  <c r="B275" i="1"/>
  <c r="A275" i="1"/>
  <c r="C274" i="1"/>
  <c r="B274" i="1"/>
  <c r="A274" i="1"/>
  <c r="C273" i="1"/>
  <c r="B273" i="1"/>
  <c r="A273" i="1"/>
  <c r="C272" i="1"/>
  <c r="B272" i="1"/>
  <c r="A272" i="1"/>
  <c r="C271" i="1"/>
  <c r="B271" i="1"/>
  <c r="A271" i="1"/>
  <c r="C270" i="1"/>
  <c r="B270" i="1"/>
  <c r="A270" i="1"/>
  <c r="D259" i="1"/>
  <c r="C259" i="1"/>
  <c r="B259" i="1"/>
  <c r="D258" i="1"/>
  <c r="C258" i="1"/>
  <c r="B258" i="1"/>
  <c r="D257" i="1"/>
  <c r="C257" i="1"/>
  <c r="B257" i="1"/>
  <c r="D256" i="1"/>
  <c r="C256" i="1"/>
  <c r="B256" i="1"/>
  <c r="D255" i="1"/>
  <c r="C255" i="1"/>
  <c r="B255" i="1"/>
  <c r="D254" i="1"/>
  <c r="C254" i="1"/>
  <c r="B254" i="1"/>
  <c r="D253" i="1"/>
  <c r="C253" i="1"/>
  <c r="B253" i="1"/>
  <c r="A249" i="1"/>
  <c r="C243" i="1"/>
  <c r="B243" i="1"/>
  <c r="A243" i="1"/>
  <c r="C242" i="1"/>
  <c r="B242" i="1"/>
  <c r="A242" i="1"/>
  <c r="C241" i="1"/>
  <c r="B241" i="1"/>
  <c r="A241" i="1"/>
  <c r="C240" i="1"/>
  <c r="B240" i="1"/>
  <c r="A240" i="1"/>
  <c r="C239" i="1"/>
  <c r="B239" i="1"/>
  <c r="A239" i="1"/>
  <c r="C238" i="1"/>
  <c r="B238" i="1"/>
  <c r="A238" i="1"/>
  <c r="C237" i="1"/>
  <c r="B237" i="1"/>
  <c r="A237" i="1"/>
  <c r="C236" i="1"/>
  <c r="B236" i="1"/>
  <c r="A236" i="1"/>
  <c r="C235" i="1"/>
  <c r="B235" i="1"/>
  <c r="A235" i="1"/>
  <c r="C234" i="1"/>
  <c r="B234" i="1"/>
  <c r="A234" i="1"/>
  <c r="C233" i="1"/>
  <c r="B233" i="1"/>
  <c r="A233" i="1"/>
  <c r="D224" i="1"/>
  <c r="C224" i="1"/>
  <c r="B224" i="1"/>
  <c r="A224" i="1"/>
  <c r="D223" i="1"/>
  <c r="C223" i="1"/>
  <c r="B223" i="1"/>
  <c r="A223" i="1"/>
  <c r="D222" i="1"/>
  <c r="C222" i="1"/>
  <c r="B222" i="1"/>
  <c r="A222" i="1"/>
  <c r="D221" i="1"/>
  <c r="C221" i="1"/>
  <c r="B221" i="1"/>
  <c r="A221" i="1"/>
  <c r="D220" i="1"/>
  <c r="C220" i="1"/>
  <c r="B220" i="1"/>
  <c r="A220" i="1"/>
  <c r="D219" i="1"/>
  <c r="C219" i="1"/>
  <c r="B219" i="1"/>
  <c r="A219" i="1"/>
  <c r="D218" i="1"/>
  <c r="C218" i="1"/>
  <c r="B218" i="1"/>
  <c r="A218" i="1"/>
  <c r="D217" i="1"/>
  <c r="C217" i="1"/>
  <c r="B217" i="1"/>
  <c r="A217" i="1"/>
  <c r="B208" i="1"/>
  <c r="A208" i="1"/>
  <c r="B202" i="1"/>
  <c r="B201" i="1"/>
  <c r="B200" i="1"/>
  <c r="A197" i="1"/>
  <c r="A194" i="1"/>
  <c r="B192" i="1"/>
  <c r="A192" i="1"/>
  <c r="B191" i="1"/>
  <c r="A191" i="1"/>
  <c r="A190" i="1"/>
  <c r="B189" i="1"/>
  <c r="A189" i="1"/>
  <c r="B188" i="1"/>
  <c r="A188" i="1"/>
  <c r="B187" i="1"/>
  <c r="A187" i="1"/>
  <c r="B186" i="1"/>
  <c r="A186" i="1"/>
  <c r="A185" i="1"/>
  <c r="B184" i="1"/>
  <c r="A184" i="1"/>
  <c r="B183" i="1"/>
  <c r="A183" i="1"/>
  <c r="B182" i="1"/>
  <c r="A182" i="1"/>
  <c r="B181" i="1"/>
  <c r="A181" i="1"/>
  <c r="A180" i="1"/>
  <c r="J171" i="1"/>
  <c r="I171" i="1"/>
  <c r="H171" i="1"/>
  <c r="G171" i="1"/>
  <c r="F171" i="1"/>
  <c r="E171" i="1"/>
  <c r="D171" i="1"/>
  <c r="C171" i="1"/>
  <c r="B171" i="1"/>
  <c r="J170" i="1"/>
  <c r="I170" i="1"/>
  <c r="H170" i="1"/>
  <c r="G170" i="1"/>
  <c r="F170" i="1"/>
  <c r="E170" i="1"/>
  <c r="D170" i="1"/>
  <c r="C170" i="1"/>
  <c r="B170" i="1"/>
  <c r="J168" i="1"/>
  <c r="I168" i="1"/>
  <c r="H168" i="1"/>
  <c r="G168" i="1"/>
  <c r="F168" i="1"/>
  <c r="E168" i="1"/>
  <c r="D168" i="1"/>
  <c r="C168" i="1"/>
  <c r="B168" i="1"/>
  <c r="J167" i="1"/>
  <c r="I167" i="1"/>
  <c r="H167" i="1"/>
  <c r="G167" i="1"/>
  <c r="F167" i="1"/>
  <c r="E167" i="1"/>
  <c r="D167" i="1"/>
  <c r="C167" i="1"/>
  <c r="B167" i="1"/>
  <c r="J166" i="1"/>
  <c r="I166" i="1"/>
  <c r="H166" i="1"/>
  <c r="G166" i="1"/>
  <c r="F166" i="1"/>
  <c r="E166" i="1"/>
  <c r="D166" i="1"/>
  <c r="C166" i="1"/>
  <c r="B166" i="1"/>
  <c r="J165" i="1"/>
  <c r="I165" i="1"/>
  <c r="H165" i="1"/>
  <c r="G165" i="1"/>
  <c r="F165" i="1"/>
  <c r="E165" i="1"/>
  <c r="D165" i="1"/>
  <c r="C165" i="1"/>
  <c r="B165" i="1"/>
  <c r="J164" i="1"/>
  <c r="I164" i="1"/>
  <c r="H164" i="1"/>
  <c r="G164" i="1"/>
  <c r="F164" i="1"/>
  <c r="E164" i="1"/>
  <c r="D164" i="1"/>
  <c r="C164" i="1"/>
  <c r="B164" i="1"/>
  <c r="J162" i="1"/>
  <c r="I162" i="1"/>
  <c r="H162" i="1"/>
  <c r="G162" i="1"/>
  <c r="F162" i="1"/>
  <c r="E162" i="1"/>
  <c r="D162" i="1"/>
  <c r="C162" i="1"/>
  <c r="B162" i="1"/>
  <c r="J161" i="1"/>
  <c r="I161" i="1"/>
  <c r="H161" i="1"/>
  <c r="G161" i="1"/>
  <c r="F161" i="1"/>
  <c r="E161" i="1"/>
  <c r="D161" i="1"/>
  <c r="C161" i="1"/>
  <c r="B161" i="1"/>
  <c r="J160" i="1"/>
  <c r="I160" i="1"/>
  <c r="H160" i="1"/>
  <c r="G160" i="1"/>
  <c r="F160" i="1"/>
  <c r="E160" i="1"/>
  <c r="D160" i="1"/>
  <c r="C160" i="1"/>
  <c r="B160" i="1"/>
  <c r="J159" i="1"/>
  <c r="I159" i="1"/>
  <c r="H159" i="1"/>
  <c r="G159" i="1"/>
  <c r="F159" i="1"/>
  <c r="E159" i="1"/>
  <c r="D159" i="1"/>
  <c r="C159" i="1"/>
  <c r="B159" i="1"/>
  <c r="J158" i="1"/>
  <c r="I158" i="1"/>
  <c r="H158" i="1"/>
  <c r="G158" i="1"/>
  <c r="F158" i="1"/>
  <c r="E158" i="1"/>
  <c r="D158" i="1"/>
  <c r="C158" i="1"/>
  <c r="B158" i="1"/>
  <c r="J157" i="1"/>
  <c r="I157" i="1"/>
  <c r="H157" i="1"/>
  <c r="G157" i="1"/>
  <c r="F157" i="1"/>
  <c r="E157" i="1"/>
  <c r="D157" i="1"/>
  <c r="C157" i="1"/>
  <c r="B157" i="1"/>
  <c r="J156" i="1"/>
  <c r="I156" i="1"/>
  <c r="H156" i="1"/>
  <c r="G156" i="1"/>
  <c r="F156" i="1"/>
  <c r="E156" i="1"/>
  <c r="D156" i="1"/>
  <c r="C156" i="1"/>
  <c r="B156" i="1"/>
  <c r="C147" i="1"/>
  <c r="C144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C130" i="1"/>
  <c r="B130" i="1"/>
  <c r="A130" i="1"/>
  <c r="C129" i="1"/>
  <c r="B129" i="1"/>
  <c r="A129" i="1"/>
  <c r="C128" i="1"/>
  <c r="B128" i="1"/>
  <c r="A128" i="1"/>
  <c r="C127" i="1"/>
  <c r="B127" i="1"/>
  <c r="A127" i="1"/>
  <c r="C126" i="1"/>
  <c r="B126" i="1"/>
  <c r="A126" i="1"/>
  <c r="A123" i="1"/>
  <c r="I115" i="1"/>
  <c r="H115" i="1"/>
  <c r="G115" i="1"/>
  <c r="F115" i="1"/>
  <c r="E115" i="1"/>
  <c r="D115" i="1"/>
  <c r="C115" i="1"/>
  <c r="B115" i="1"/>
  <c r="I114" i="1"/>
  <c r="H114" i="1"/>
  <c r="G114" i="1"/>
  <c r="F114" i="1"/>
  <c r="E114" i="1"/>
  <c r="D114" i="1"/>
  <c r="C114" i="1"/>
  <c r="B114" i="1"/>
  <c r="I113" i="1"/>
  <c r="H113" i="1"/>
  <c r="G113" i="1"/>
  <c r="F113" i="1"/>
  <c r="E113" i="1"/>
  <c r="D113" i="1"/>
  <c r="C113" i="1"/>
  <c r="B113" i="1"/>
  <c r="I112" i="1"/>
  <c r="H112" i="1"/>
  <c r="G112" i="1"/>
  <c r="F112" i="1"/>
  <c r="E112" i="1"/>
  <c r="D112" i="1"/>
  <c r="C112" i="1"/>
  <c r="B112" i="1"/>
  <c r="I111" i="1"/>
  <c r="H111" i="1"/>
  <c r="G111" i="1"/>
  <c r="F111" i="1"/>
  <c r="E111" i="1"/>
  <c r="D111" i="1"/>
  <c r="C111" i="1"/>
  <c r="B111" i="1"/>
  <c r="I110" i="1"/>
  <c r="H110" i="1"/>
  <c r="G110" i="1"/>
  <c r="F110" i="1"/>
  <c r="E110" i="1"/>
  <c r="D110" i="1"/>
  <c r="C110" i="1"/>
  <c r="B110" i="1"/>
  <c r="I109" i="1"/>
  <c r="H109" i="1"/>
  <c r="G109" i="1"/>
  <c r="F109" i="1"/>
  <c r="E109" i="1"/>
  <c r="D109" i="1"/>
  <c r="C109" i="1"/>
  <c r="B109" i="1"/>
  <c r="I108" i="1"/>
  <c r="H108" i="1"/>
  <c r="G108" i="1"/>
  <c r="F108" i="1"/>
  <c r="E108" i="1"/>
  <c r="D108" i="1"/>
  <c r="C108" i="1"/>
  <c r="B108" i="1"/>
  <c r="I107" i="1"/>
  <c r="H107" i="1"/>
  <c r="G107" i="1"/>
  <c r="F107" i="1"/>
  <c r="E107" i="1"/>
  <c r="D107" i="1"/>
  <c r="C107" i="1"/>
  <c r="B107" i="1"/>
  <c r="I106" i="1"/>
  <c r="H106" i="1"/>
  <c r="G106" i="1"/>
  <c r="F106" i="1"/>
  <c r="E106" i="1"/>
  <c r="D106" i="1"/>
  <c r="C106" i="1"/>
  <c r="B106" i="1"/>
  <c r="I105" i="1"/>
  <c r="H105" i="1"/>
  <c r="G105" i="1"/>
  <c r="F105" i="1"/>
  <c r="E105" i="1"/>
  <c r="D105" i="1"/>
  <c r="C105" i="1"/>
  <c r="B105" i="1"/>
  <c r="I104" i="1"/>
  <c r="H104" i="1"/>
  <c r="G104" i="1"/>
  <c r="F104" i="1"/>
  <c r="E104" i="1"/>
  <c r="D104" i="1"/>
  <c r="C104" i="1"/>
  <c r="B104" i="1"/>
  <c r="I103" i="1"/>
  <c r="H103" i="1"/>
  <c r="G103" i="1"/>
  <c r="F103" i="1"/>
  <c r="E103" i="1"/>
  <c r="D103" i="1"/>
  <c r="C103" i="1"/>
  <c r="B103" i="1"/>
  <c r="I102" i="1"/>
  <c r="H102" i="1"/>
  <c r="G102" i="1"/>
  <c r="F102" i="1"/>
  <c r="E102" i="1"/>
  <c r="D102" i="1"/>
  <c r="C102" i="1"/>
  <c r="B102" i="1"/>
  <c r="I101" i="1"/>
  <c r="H101" i="1"/>
  <c r="G101" i="1"/>
  <c r="F101" i="1"/>
  <c r="E101" i="1"/>
  <c r="D101" i="1"/>
  <c r="C101" i="1"/>
  <c r="B101" i="1"/>
  <c r="I100" i="1"/>
  <c r="H100" i="1"/>
  <c r="G100" i="1"/>
  <c r="F100" i="1"/>
  <c r="E100" i="1"/>
  <c r="D100" i="1"/>
  <c r="C100" i="1"/>
  <c r="B100" i="1"/>
  <c r="I99" i="1"/>
  <c r="H99" i="1"/>
  <c r="G99" i="1"/>
  <c r="F99" i="1"/>
  <c r="E99" i="1"/>
  <c r="D99" i="1"/>
  <c r="C99" i="1"/>
  <c r="B99" i="1"/>
  <c r="I98" i="1"/>
  <c r="H98" i="1"/>
  <c r="G98" i="1"/>
  <c r="F98" i="1"/>
  <c r="E98" i="1"/>
  <c r="D98" i="1"/>
  <c r="C98" i="1"/>
  <c r="B98" i="1"/>
  <c r="I97" i="1"/>
  <c r="H97" i="1"/>
  <c r="G97" i="1"/>
  <c r="F97" i="1"/>
  <c r="E97" i="1"/>
  <c r="D97" i="1"/>
  <c r="C97" i="1"/>
  <c r="B97" i="1"/>
  <c r="I96" i="1"/>
  <c r="H96" i="1"/>
  <c r="G96" i="1"/>
  <c r="F96" i="1"/>
  <c r="E96" i="1"/>
  <c r="D96" i="1"/>
  <c r="C96" i="1"/>
  <c r="B96" i="1"/>
  <c r="I95" i="1"/>
  <c r="H95" i="1"/>
  <c r="G95" i="1"/>
  <c r="F95" i="1"/>
  <c r="E95" i="1"/>
  <c r="D95" i="1"/>
  <c r="C95" i="1"/>
  <c r="B95" i="1"/>
  <c r="I94" i="1"/>
  <c r="H94" i="1"/>
  <c r="G94" i="1"/>
  <c r="F94" i="1"/>
  <c r="E94" i="1"/>
  <c r="D94" i="1"/>
  <c r="C94" i="1"/>
  <c r="B94" i="1"/>
  <c r="I93" i="1"/>
  <c r="H93" i="1"/>
  <c r="G93" i="1"/>
  <c r="F93" i="1"/>
  <c r="E93" i="1"/>
  <c r="D93" i="1"/>
  <c r="C93" i="1"/>
  <c r="B93" i="1"/>
  <c r="I92" i="1"/>
  <c r="H92" i="1"/>
  <c r="G92" i="1"/>
  <c r="F92" i="1"/>
  <c r="E92" i="1"/>
  <c r="D92" i="1"/>
  <c r="C92" i="1"/>
  <c r="B92" i="1"/>
  <c r="I91" i="1"/>
  <c r="H91" i="1"/>
  <c r="G91" i="1"/>
  <c r="F91" i="1"/>
  <c r="E91" i="1"/>
  <c r="D91" i="1"/>
  <c r="C91" i="1"/>
  <c r="B91" i="1"/>
  <c r="I90" i="1"/>
  <c r="H90" i="1"/>
  <c r="G90" i="1"/>
  <c r="F90" i="1"/>
  <c r="E90" i="1"/>
  <c r="D90" i="1"/>
  <c r="C90" i="1"/>
  <c r="B90" i="1"/>
  <c r="I89" i="1"/>
  <c r="H89" i="1"/>
  <c r="G89" i="1"/>
  <c r="F89" i="1"/>
  <c r="E89" i="1"/>
  <c r="D89" i="1"/>
  <c r="C89" i="1"/>
  <c r="B89" i="1"/>
  <c r="I88" i="1"/>
  <c r="H88" i="1"/>
  <c r="G88" i="1"/>
  <c r="F88" i="1"/>
  <c r="E88" i="1"/>
  <c r="D88" i="1"/>
  <c r="C88" i="1"/>
  <c r="B88" i="1"/>
  <c r="I87" i="1"/>
  <c r="H87" i="1"/>
  <c r="G87" i="1"/>
  <c r="F87" i="1"/>
  <c r="E87" i="1"/>
  <c r="D87" i="1"/>
  <c r="C87" i="1"/>
  <c r="B87" i="1"/>
  <c r="I86" i="1"/>
  <c r="H86" i="1"/>
  <c r="G86" i="1"/>
  <c r="F86" i="1"/>
  <c r="E86" i="1"/>
  <c r="D86" i="1"/>
  <c r="C86" i="1"/>
  <c r="B86" i="1"/>
  <c r="I85" i="1"/>
  <c r="H85" i="1"/>
  <c r="G85" i="1"/>
  <c r="F85" i="1"/>
  <c r="E85" i="1"/>
  <c r="D85" i="1"/>
  <c r="C85" i="1"/>
  <c r="B85" i="1"/>
  <c r="F75" i="1"/>
  <c r="B75" i="1"/>
  <c r="F74" i="1"/>
  <c r="B74" i="1"/>
  <c r="F73" i="1"/>
  <c r="B73" i="1"/>
  <c r="F72" i="1"/>
  <c r="B72" i="1"/>
  <c r="F71" i="1"/>
  <c r="B71" i="1"/>
  <c r="F70" i="1"/>
  <c r="B70" i="1"/>
  <c r="F69" i="1"/>
  <c r="B69" i="1"/>
  <c r="F68" i="1"/>
  <c r="B68" i="1"/>
  <c r="F67" i="1"/>
  <c r="B67" i="1"/>
  <c r="F66" i="1"/>
  <c r="B66" i="1"/>
  <c r="F56" i="1"/>
  <c r="B56" i="1"/>
  <c r="F55" i="1"/>
  <c r="B55" i="1"/>
  <c r="F54" i="1"/>
  <c r="B54" i="1"/>
  <c r="F53" i="1"/>
  <c r="B53" i="1"/>
  <c r="F52" i="1"/>
  <c r="B52" i="1"/>
  <c r="F51" i="1"/>
  <c r="B51" i="1"/>
  <c r="F50" i="1"/>
  <c r="B50" i="1"/>
  <c r="F49" i="1"/>
  <c r="B49" i="1"/>
  <c r="F48" i="1"/>
  <c r="B48" i="1"/>
  <c r="F47" i="1"/>
  <c r="B47" i="1"/>
  <c r="I37" i="1"/>
  <c r="H37" i="1"/>
  <c r="G37" i="1"/>
  <c r="F37" i="1"/>
  <c r="E37" i="1"/>
  <c r="D37" i="1"/>
  <c r="C37" i="1"/>
  <c r="B37" i="1"/>
  <c r="I36" i="1"/>
  <c r="H36" i="1"/>
  <c r="G36" i="1"/>
  <c r="F36" i="1"/>
  <c r="E36" i="1"/>
  <c r="D36" i="1"/>
  <c r="C36" i="1"/>
  <c r="B36" i="1"/>
  <c r="I35" i="1"/>
  <c r="H35" i="1"/>
  <c r="G35" i="1"/>
  <c r="F35" i="1"/>
  <c r="E35" i="1"/>
  <c r="D35" i="1"/>
  <c r="C35" i="1"/>
  <c r="B35" i="1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I26" i="1"/>
  <c r="H26" i="1"/>
  <c r="G26" i="1"/>
  <c r="F26" i="1"/>
  <c r="E26" i="1"/>
  <c r="D26" i="1"/>
  <c r="C26" i="1"/>
  <c r="B26" i="1"/>
  <c r="I25" i="1"/>
  <c r="H25" i="1"/>
  <c r="G25" i="1"/>
  <c r="F25" i="1"/>
  <c r="E25" i="1"/>
  <c r="D25" i="1"/>
  <c r="C25" i="1"/>
  <c r="B25" i="1"/>
  <c r="I24" i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B20" i="1"/>
  <c r="A20" i="1"/>
  <c r="B19" i="1"/>
  <c r="A19" i="1"/>
  <c r="B12" i="1"/>
  <c r="E7" i="1"/>
  <c r="D7" i="1"/>
  <c r="C7" i="1"/>
  <c r="B7" i="1"/>
  <c r="A7" i="1"/>
  <c r="E6" i="1"/>
  <c r="E5" i="1"/>
  <c r="D5" i="1"/>
  <c r="A268" i="1" l="1"/>
  <c r="A231" i="1"/>
  <c r="B5" i="1"/>
  <c r="C5" i="1" l="1"/>
  <c r="B65" i="1"/>
  <c r="B46" i="1"/>
  <c r="F65" i="1"/>
  <c r="F46" i="1"/>
  <c r="C145" i="1"/>
  <c r="C6" i="1"/>
  <c r="B6" i="1"/>
  <c r="D6" i="1" l="1"/>
</calcChain>
</file>

<file path=xl/sharedStrings.xml><?xml version="1.0" encoding="utf-8"?>
<sst xmlns="http://schemas.openxmlformats.org/spreadsheetml/2006/main" count="306" uniqueCount="112">
  <si>
    <t>Credit Quality</t>
  </si>
  <si>
    <t>Source: Standard &amp; Poor’s.</t>
  </si>
  <si>
    <t>Economic Indicators</t>
  </si>
  <si>
    <t>Total employment (000s)</t>
  </si>
  <si>
    <t>Population (000s)</t>
  </si>
  <si>
    <t>Retail sales ($ millions)</t>
  </si>
  <si>
    <t>Unemployment rate (per cent)</t>
  </si>
  <si>
    <t>Sources: The Conference Board of Canada; Statistics Canada.</t>
  </si>
  <si>
    <t>Chart 1</t>
  </si>
  <si>
    <t>Employment in Perspective</t>
  </si>
  <si>
    <t>Canada</t>
  </si>
  <si>
    <t>Chart 2</t>
  </si>
  <si>
    <t>Total</t>
  </si>
  <si>
    <t>Industrial</t>
  </si>
  <si>
    <t>Office</t>
  </si>
  <si>
    <t>Wholesale and retail trade</t>
  </si>
  <si>
    <t>Transportation and warehousing</t>
  </si>
  <si>
    <t>Dashboard Page</t>
  </si>
  <si>
    <t>Real GDP Growth and Ranking</t>
  </si>
  <si>
    <t>Relative Cost of Shelter</t>
  </si>
  <si>
    <t>Total housing starts</t>
  </si>
  <si>
    <t>CPI (2002 = 1.0)</t>
  </si>
  <si>
    <t>Sources: Statistics Canada; CMHC Housing Time Series Database; The Conference Board of Canada.</t>
  </si>
  <si>
    <t>Employment Outlook</t>
  </si>
  <si>
    <t>Non-Commercial Services</t>
  </si>
  <si>
    <t>GDP Outlook</t>
  </si>
  <si>
    <t>Source: The Conference Board of Canada.</t>
  </si>
  <si>
    <t>Table 1</t>
  </si>
  <si>
    <t>Sectoral Employment</t>
  </si>
  <si>
    <t>(000s)</t>
  </si>
  <si>
    <t>Manufacturing</t>
  </si>
  <si>
    <t>Table 2</t>
  </si>
  <si>
    <t>Class*</t>
  </si>
  <si>
    <t>Industry</t>
  </si>
  <si>
    <t>*North American Industrial Classification System</t>
  </si>
  <si>
    <t>Source: Statistics Canada.</t>
  </si>
  <si>
    <t>Chart 3</t>
  </si>
  <si>
    <t>Employment Market Variability</t>
  </si>
  <si>
    <t>Fluctuations</t>
  </si>
  <si>
    <t>Link to Canada</t>
  </si>
  <si>
    <t>No link to Canada</t>
  </si>
  <si>
    <t>Compared to Canada</t>
  </si>
  <si>
    <t>Table 3</t>
  </si>
  <si>
    <t>Construction, Commercial Real Estate, and Income Overview</t>
  </si>
  <si>
    <t>Building permits ($ 000s)</t>
  </si>
  <si>
    <t>Office sector*</t>
  </si>
  <si>
    <t>No. of square feet (000s)</t>
  </si>
  <si>
    <t>Vacancy rate (%)</t>
  </si>
  <si>
    <t>Employment (000s)</t>
  </si>
  <si>
    <t>Residential</t>
  </si>
  <si>
    <t>Non-residential</t>
  </si>
  <si>
    <t>Commercial</t>
  </si>
  <si>
    <t>Consumer</t>
  </si>
  <si>
    <t>Business</t>
  </si>
  <si>
    <t>Bankruptcies</t>
  </si>
  <si>
    <t>Percentage change</t>
  </si>
  <si>
    <t>*Information and cultural services; finance, insurance, and real estate; business services; and public administration.</t>
  </si>
  <si>
    <t>Sources: The Conference Board of Canada; Statistics Canada; Industry Canada; CBRE.</t>
  </si>
  <si>
    <t>Table 4</t>
  </si>
  <si>
    <t>Real Estate</t>
  </si>
  <si>
    <t>Public admin.</t>
  </si>
  <si>
    <t>Fin., ins., &amp; real est.</t>
  </si>
  <si>
    <t>Information &amp; cultural</t>
  </si>
  <si>
    <t>Trans. &amp; ware.</t>
  </si>
  <si>
    <t>Wholesale &amp; retail</t>
  </si>
  <si>
    <t>Total employment</t>
  </si>
  <si>
    <t>Primary and utilities</t>
  </si>
  <si>
    <t>Information and cultural industries</t>
  </si>
  <si>
    <t>Employees (000s)</t>
  </si>
  <si>
    <t>Public admin. and non-comm.</t>
  </si>
  <si>
    <t>Chart 4</t>
  </si>
  <si>
    <t>($ 000s)</t>
  </si>
  <si>
    <t>Sources: Statistics Canada; The Conference Board of Canada.</t>
  </si>
  <si>
    <t>Chart 5</t>
  </si>
  <si>
    <t>Chart 6</t>
  </si>
  <si>
    <t>Sources of Migration</t>
  </si>
  <si>
    <t>International</t>
  </si>
  <si>
    <t>Interprovincial</t>
  </si>
  <si>
    <t>Intercity</t>
  </si>
  <si>
    <t>Chart 7</t>
  </si>
  <si>
    <t>Housing Starts</t>
  </si>
  <si>
    <t>Table 5</t>
  </si>
  <si>
    <t>(share of total employment)</t>
  </si>
  <si>
    <t>Sector</t>
  </si>
  <si>
    <t xml:space="preserve">Industrial </t>
  </si>
  <si>
    <t>Transport and Warehousing</t>
  </si>
  <si>
    <t>Wholesale and Retail Trade</t>
  </si>
  <si>
    <t>Chart 8</t>
  </si>
  <si>
    <t>Sources: The Conference Board of Canada; CMHC Housing Time Series Database.</t>
  </si>
  <si>
    <t>Ontario</t>
  </si>
  <si>
    <t>Hamilton</t>
  </si>
  <si>
    <t>Household income per capita ($)</t>
  </si>
  <si>
    <t>Finance, insurance, real estate, business,</t>
  </si>
  <si>
    <t>building, and other support services</t>
  </si>
  <si>
    <t>Professional, scientific and technical services</t>
  </si>
  <si>
    <t>Educational services</t>
  </si>
  <si>
    <t>Health care and social assistance</t>
  </si>
  <si>
    <t>Arts, entertainment and recreation</t>
  </si>
  <si>
    <t>Accommodation and food services</t>
  </si>
  <si>
    <t>Other services (except public administration)</t>
  </si>
  <si>
    <t>Public administration</t>
  </si>
  <si>
    <t>*arts, entertainment, and recreation; accommodation and food services; and other services (except</t>
  </si>
  <si>
    <t>public administration)</t>
  </si>
  <si>
    <t>*Other Services</t>
  </si>
  <si>
    <t>(per cent)</t>
  </si>
  <si>
    <t xml:space="preserve">Shaded area represents forecast data. </t>
  </si>
  <si>
    <t>(versus national average)</t>
  </si>
  <si>
    <t>Non-com. Services</t>
  </si>
  <si>
    <t>Prof., scientific, &amp; tech. services</t>
  </si>
  <si>
    <t>Other services*</t>
  </si>
  <si>
    <t>Construction</t>
  </si>
  <si>
    <t>Real GDP at basic prices (2017 $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</si>
</sst>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00"/>
    <numFmt numFmtId="165" formatCode="0.0"/>
    <numFmt numFmtId="166" formatCode="#,##0.0"/>
    <numFmt numFmtId="167" formatCode="0.0%"/>
    <numFmt numFmtId="168" formatCode="&quot;$&quot;#,##0.00"/>
    <numFmt numFmtId="169" formatCode="yy"/>
    <numFmt numFmtId="170" formatCode="&quot;$&quot;#,##0"/>
    <numFmt numFmtId="171" formatCode="_(* #,##0_);_(* \(#,##0\);_(* &quot;-&quot;??_);_(@_)"/>
    <numFmt numFmtId="172" formatCode="_(* #,##0.0_);_(* \(#,##0.0\);_(* &quot;-&quot;??_);_(@_)"/>
    <numFmt numFmtId="173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165" fontId="0" fillId="0" borderId="0" xfId="0" applyNumberFormat="1"/>
    <xf numFmtId="165" fontId="2" fillId="0" borderId="0" xfId="0" applyNumberFormat="1" applyFont="1"/>
    <xf numFmtId="3" fontId="0" fillId="0" borderId="0" xfId="0" applyNumberFormat="1"/>
    <xf numFmtId="165" fontId="3" fillId="0" borderId="0" xfId="0" applyNumberFormat="1" applyFont="1"/>
    <xf numFmtId="0" fontId="4" fillId="2" borderId="0" xfId="0" applyFont="1" applyFill="1"/>
    <xf numFmtId="0" fontId="1" fillId="2" borderId="0" xfId="0" applyFont="1" applyFill="1"/>
    <xf numFmtId="1" fontId="0" fillId="0" borderId="0" xfId="0" applyNumberFormat="1"/>
    <xf numFmtId="2" fontId="0" fillId="0" borderId="0" xfId="0" applyNumberFormat="1"/>
    <xf numFmtId="166" fontId="5" fillId="0" borderId="0" xfId="0" applyNumberFormat="1" applyFont="1"/>
    <xf numFmtId="165" fontId="5" fillId="0" borderId="0" xfId="0" applyNumberFormat="1" applyFont="1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5" fontId="0" fillId="3" borderId="0" xfId="0" applyNumberFormat="1" applyFill="1"/>
    <xf numFmtId="166" fontId="5" fillId="3" borderId="0" xfId="0" applyNumberFormat="1" applyFont="1" applyFill="1"/>
    <xf numFmtId="165" fontId="5" fillId="3" borderId="0" xfId="0" applyNumberFormat="1" applyFont="1" applyFill="1"/>
    <xf numFmtId="0" fontId="0" fillId="0" borderId="0" xfId="0" applyAlignment="1">
      <alignment horizontal="left" indent="3"/>
    </xf>
    <xf numFmtId="0" fontId="1" fillId="0" borderId="0" xfId="0" applyFont="1" applyAlignment="1">
      <alignment horizontal="right" indent="5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 indent="6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5" fillId="0" borderId="0" xfId="0" applyNumberFormat="1" applyFont="1" applyAlignment="1">
      <alignment horizontal="right"/>
    </xf>
    <xf numFmtId="167" fontId="0" fillId="0" borderId="0" xfId="0" applyNumberFormat="1"/>
    <xf numFmtId="168" fontId="0" fillId="0" borderId="0" xfId="0" applyNumberFormat="1"/>
    <xf numFmtId="0" fontId="1" fillId="0" borderId="0" xfId="0" quotePrefix="1" applyFont="1"/>
    <xf numFmtId="166" fontId="0" fillId="0" borderId="0" xfId="0" applyNumberFormat="1"/>
    <xf numFmtId="2" fontId="1" fillId="0" borderId="0" xfId="0" applyNumberFormat="1" applyFont="1"/>
    <xf numFmtId="169" fontId="0" fillId="0" borderId="0" xfId="0" applyNumberFormat="1"/>
    <xf numFmtId="0" fontId="5" fillId="0" borderId="0" xfId="0" applyFont="1"/>
    <xf numFmtId="3" fontId="7" fillId="0" borderId="0" xfId="0" applyNumberFormat="1" applyFont="1"/>
    <xf numFmtId="170" fontId="7" fillId="0" borderId="0" xfId="0" applyNumberFormat="1" applyFont="1"/>
    <xf numFmtId="167" fontId="8" fillId="0" borderId="0" xfId="1" applyNumberFormat="1" applyFont="1" applyFill="1"/>
    <xf numFmtId="167" fontId="7" fillId="0" borderId="0" xfId="1" applyNumberFormat="1" applyFont="1" applyFill="1"/>
    <xf numFmtId="170" fontId="0" fillId="0" borderId="0" xfId="0" applyNumberFormat="1"/>
    <xf numFmtId="1" fontId="7" fillId="0" borderId="0" xfId="0" applyNumberFormat="1" applyFont="1"/>
    <xf numFmtId="165" fontId="8" fillId="0" borderId="0" xfId="0" applyNumberFormat="1" applyFont="1"/>
    <xf numFmtId="165" fontId="7" fillId="0" borderId="0" xfId="0" applyNumberFormat="1" applyFont="1"/>
    <xf numFmtId="164" fontId="7" fillId="0" borderId="0" xfId="0" applyNumberFormat="1" applyFont="1"/>
    <xf numFmtId="0" fontId="0" fillId="0" borderId="0" xfId="0" applyAlignment="1">
      <alignment horizontal="left" indent="1"/>
    </xf>
    <xf numFmtId="165" fontId="1" fillId="0" borderId="0" xfId="0" applyNumberFormat="1" applyFont="1"/>
    <xf numFmtId="165" fontId="2" fillId="0" borderId="0" xfId="0" applyNumberFormat="1" applyFont="1" applyAlignment="1">
      <alignment horizontal="right"/>
    </xf>
    <xf numFmtId="3" fontId="0" fillId="3" borderId="0" xfId="0" applyNumberFormat="1" applyFill="1"/>
    <xf numFmtId="165" fontId="8" fillId="3" borderId="0" xfId="0" applyNumberFormat="1" applyFont="1" applyFill="1"/>
    <xf numFmtId="164" fontId="0" fillId="0" borderId="0" xfId="0" applyNumberFormat="1"/>
    <xf numFmtId="164" fontId="0" fillId="3" borderId="0" xfId="0" applyNumberFormat="1" applyFill="1"/>
    <xf numFmtId="167" fontId="0" fillId="0" borderId="0" xfId="1" applyNumberFormat="1" applyFont="1" applyFill="1"/>
    <xf numFmtId="171" fontId="0" fillId="0" borderId="0" xfId="2" applyNumberFormat="1" applyFont="1"/>
    <xf numFmtId="172" fontId="0" fillId="0" borderId="0" xfId="2" applyNumberFormat="1" applyFont="1"/>
    <xf numFmtId="173" fontId="0" fillId="0" borderId="0" xfId="2" applyNumberFormat="1" applyFont="1"/>
    <xf numFmtId="165" fontId="0" fillId="0" borderId="0" xfId="1" applyNumberFormat="1" applyFont="1"/>
    <xf numFmtId="167" fontId="0" fillId="0" borderId="0" xfId="1" applyNumberFormat="1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24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1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25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1/TAB1_C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All%20Cities/dominant%20industri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10/TAB10_h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16/TAB16_h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All%20Cities/office%20secto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13/TAB13_ha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BoardShare-ECON-Division\Metro_Outlook\All%20Cities\Bankruptcies.xls" TargetMode="External"/><Relationship Id="rId1" Type="http://schemas.openxmlformats.org/officeDocument/2006/relationships/externalLinkPath" Target="/BoardShare-ECON-Division/Metro_Outlook/All%20Cities/Bankruptci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8/TAB8_h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8/TAB8_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8/TAB8_K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9/TAB9_h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1/tab1_h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5/TAB5_h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6/TAB6_H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7/TAB7_o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7/TAB7_h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7/TAB7_k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2/tab2_ha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BoardShare-ECON-Division\Metro_Outlook\All%20Cities\CREA%20Real%20Estate.xlsx" TargetMode="External"/><Relationship Id="rId1" Type="http://schemas.openxmlformats.org/officeDocument/2006/relationships/externalLinkPath" Target="/BoardShare-ECON-Division/Metro_Outlook/All%20Cities/CREA%20Real%20Est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ranking/DATA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BoardShare-ECON-Division\Metro_Outlook\ranking\ranking.xls" TargetMode="External"/><Relationship Id="rId1" Type="http://schemas.openxmlformats.org/officeDocument/2006/relationships/externalLinkPath" Target="/BoardShare-ECON-Division/Metro_Outlook/ranking/ranki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All%20Cities/Credit%20Quality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BoardShare-ECON-Division\Metro_Outlook\All%20Cities\relative%20cost%20of%20shelter.xls" TargetMode="External"/><Relationship Id="rId1" Type="http://schemas.openxmlformats.org/officeDocument/2006/relationships/externalLinkPath" Target="/BoardShare-ECON-Division/Metro_Outlook/All%20Cities/relative%20cost%20of%20shelt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3/TAB3_h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4/TAB4_h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14/tab14_h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_CAN"/>
    </sheetNames>
    <sheetDataSet>
      <sheetData sheetId="0">
        <row r="1">
          <cell r="C1" t="str">
            <v>2019</v>
          </cell>
          <cell r="I1" t="str">
            <v>2025</v>
          </cell>
          <cell r="L1" t="str">
            <v>2028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inant"/>
      <sheetName val="POWERBI"/>
      <sheetName val="README"/>
    </sheetNames>
    <sheetDataSet>
      <sheetData sheetId="0">
        <row r="1">
          <cell r="A1" t="str">
            <v>Dominant Industries, 2023</v>
          </cell>
        </row>
        <row r="73">
          <cell r="A73" t="str">
            <v>4411 - 4543</v>
          </cell>
          <cell r="B73" t="str">
            <v>Retail Trade</v>
          </cell>
          <cell r="C73">
            <v>50.524999999999999</v>
          </cell>
        </row>
        <row r="74">
          <cell r="A74" t="str">
            <v>2311 - 2329</v>
          </cell>
          <cell r="B74" t="str">
            <v>Construction</v>
          </cell>
          <cell r="C74">
            <v>30.625</v>
          </cell>
        </row>
        <row r="75">
          <cell r="A75" t="str">
            <v>7221 - 7224</v>
          </cell>
          <cell r="B75" t="str">
            <v>Food Services and Drinking Places</v>
          </cell>
          <cell r="C75">
            <v>20</v>
          </cell>
        </row>
        <row r="76">
          <cell r="A76">
            <v>6220</v>
          </cell>
          <cell r="B76" t="str">
            <v>Hospitals</v>
          </cell>
          <cell r="C76">
            <v>19.524999999999999</v>
          </cell>
        </row>
        <row r="77">
          <cell r="A77">
            <v>6111</v>
          </cell>
          <cell r="B77" t="str">
            <v>Primary and Secondary</v>
          </cell>
          <cell r="C77">
            <v>19.074999999999996</v>
          </cell>
        </row>
        <row r="78">
          <cell r="A78" t="str">
            <v>4111 - 4191</v>
          </cell>
          <cell r="B78" t="str">
            <v>Wholesale Trade</v>
          </cell>
          <cell r="C78">
            <v>18.024999999999999</v>
          </cell>
        </row>
        <row r="79">
          <cell r="A79" t="str">
            <v>6211 - 6219</v>
          </cell>
          <cell r="B79" t="str">
            <v>Ambulatory Health Care Services</v>
          </cell>
          <cell r="C79">
            <v>17.399999999999999</v>
          </cell>
        </row>
        <row r="80">
          <cell r="A80" t="str">
            <v>4811 - 4922</v>
          </cell>
          <cell r="B80" t="str">
            <v>Transportation</v>
          </cell>
          <cell r="C80">
            <v>16.45</v>
          </cell>
        </row>
        <row r="81">
          <cell r="A81" t="str">
            <v>6112 - 6117</v>
          </cell>
          <cell r="B81" t="str">
            <v>Other Educational Services</v>
          </cell>
          <cell r="C81">
            <v>16.25</v>
          </cell>
        </row>
        <row r="82">
          <cell r="A82" t="str">
            <v>5211, 5221 - 5223, 5231 - 5239</v>
          </cell>
          <cell r="B82" t="str">
            <v>Finance</v>
          </cell>
          <cell r="C82">
            <v>15.125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0_ha"/>
    </sheetNames>
    <sheetDataSet>
      <sheetData sheetId="0">
        <row r="2">
          <cell r="B2">
            <v>1.9534770204098557</v>
          </cell>
          <cell r="C2">
            <v>0.60701682309285043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6_ha"/>
    </sheetNames>
    <sheetDataSet>
      <sheetData sheetId="0">
        <row r="1">
          <cell r="B1" t="str">
            <v>2015</v>
          </cell>
          <cell r="C1" t="str">
            <v>2016</v>
          </cell>
          <cell r="D1" t="str">
            <v>2017</v>
          </cell>
          <cell r="E1" t="str">
            <v>2018</v>
          </cell>
          <cell r="F1" t="str">
            <v>2019</v>
          </cell>
          <cell r="G1" t="str">
            <v>2020</v>
          </cell>
          <cell r="H1" t="str">
            <v>2021</v>
          </cell>
          <cell r="I1" t="str">
            <v>2022</v>
          </cell>
          <cell r="J1" t="str">
            <v>2023</v>
          </cell>
        </row>
        <row r="2">
          <cell r="B2">
            <v>1657274</v>
          </cell>
          <cell r="C2">
            <v>1566787</v>
          </cell>
          <cell r="D2">
            <v>1997690</v>
          </cell>
          <cell r="E2">
            <v>1726366</v>
          </cell>
          <cell r="F2">
            <v>1830736</v>
          </cell>
          <cell r="G2">
            <v>1757727</v>
          </cell>
          <cell r="H2">
            <v>2535900</v>
          </cell>
          <cell r="I2">
            <v>2426358</v>
          </cell>
          <cell r="J2">
            <v>3296274</v>
          </cell>
        </row>
        <row r="3">
          <cell r="B3">
            <v>1006733</v>
          </cell>
          <cell r="C3">
            <v>1086146</v>
          </cell>
          <cell r="D3">
            <v>1212553</v>
          </cell>
          <cell r="E3">
            <v>1143283</v>
          </cell>
          <cell r="F3">
            <v>1088182</v>
          </cell>
          <cell r="G3">
            <v>1095514</v>
          </cell>
          <cell r="H3">
            <v>1540298</v>
          </cell>
          <cell r="I3">
            <v>1367119</v>
          </cell>
          <cell r="J3">
            <v>2055921</v>
          </cell>
        </row>
        <row r="4">
          <cell r="B4">
            <v>650541</v>
          </cell>
          <cell r="C4">
            <v>480641</v>
          </cell>
          <cell r="D4">
            <v>785137</v>
          </cell>
          <cell r="E4">
            <v>583083</v>
          </cell>
          <cell r="F4">
            <v>742554</v>
          </cell>
          <cell r="G4">
            <v>662213</v>
          </cell>
          <cell r="H4">
            <v>995602</v>
          </cell>
          <cell r="I4">
            <v>1059239</v>
          </cell>
          <cell r="J4">
            <v>1240353</v>
          </cell>
        </row>
        <row r="5">
          <cell r="B5">
            <v>87095</v>
          </cell>
          <cell r="C5">
            <v>37097</v>
          </cell>
          <cell r="D5">
            <v>141030</v>
          </cell>
          <cell r="E5">
            <v>89879</v>
          </cell>
          <cell r="F5">
            <v>197571</v>
          </cell>
          <cell r="G5">
            <v>205556</v>
          </cell>
          <cell r="H5">
            <v>90534</v>
          </cell>
          <cell r="I5">
            <v>95496</v>
          </cell>
          <cell r="J5">
            <v>424411</v>
          </cell>
        </row>
        <row r="6">
          <cell r="B6">
            <v>204498</v>
          </cell>
          <cell r="C6">
            <v>289731</v>
          </cell>
          <cell r="D6">
            <v>258903</v>
          </cell>
          <cell r="E6">
            <v>271484</v>
          </cell>
          <cell r="F6">
            <v>301281</v>
          </cell>
          <cell r="G6">
            <v>386287</v>
          </cell>
          <cell r="H6">
            <v>789535</v>
          </cell>
          <cell r="I6">
            <v>599719</v>
          </cell>
          <cell r="J6">
            <v>541698</v>
          </cell>
        </row>
        <row r="7">
          <cell r="B7">
            <v>358948</v>
          </cell>
          <cell r="C7">
            <v>153813</v>
          </cell>
          <cell r="D7">
            <v>385204</v>
          </cell>
          <cell r="E7">
            <v>221720</v>
          </cell>
          <cell r="F7">
            <v>243702</v>
          </cell>
          <cell r="G7">
            <v>70370</v>
          </cell>
          <cell r="H7">
            <v>115533</v>
          </cell>
          <cell r="I7">
            <v>364024</v>
          </cell>
          <cell r="J7">
            <v>274244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sector"/>
      <sheetName val="POWERBI"/>
      <sheetName val="README"/>
      <sheetName val="historical data - cbre"/>
      <sheetName val="historical data"/>
    </sheetNames>
    <sheetDataSet>
      <sheetData sheetId="0">
        <row r="3">
          <cell r="C3">
            <v>5059.5379999999996</v>
          </cell>
        </row>
        <row r="93">
          <cell r="C93" t="str">
            <v>n/a</v>
          </cell>
          <cell r="D93" t="str">
            <v>n/a</v>
          </cell>
          <cell r="E93" t="str">
            <v>n/a</v>
          </cell>
          <cell r="F93" t="str">
            <v>n/a</v>
          </cell>
          <cell r="G93" t="str">
            <v>n/a</v>
          </cell>
          <cell r="H93" t="str">
            <v>n/a</v>
          </cell>
          <cell r="I93" t="str">
            <v>n/a</v>
          </cell>
          <cell r="J93" t="str">
            <v>n/a</v>
          </cell>
          <cell r="K93" t="str">
            <v>n/a</v>
          </cell>
        </row>
        <row r="94">
          <cell r="C94" t="str">
            <v>n/a</v>
          </cell>
          <cell r="D94" t="str">
            <v>n/a</v>
          </cell>
          <cell r="E94" t="str">
            <v>n/a</v>
          </cell>
          <cell r="F94" t="str">
            <v>n/a</v>
          </cell>
          <cell r="G94" t="str">
            <v>n/a</v>
          </cell>
          <cell r="H94" t="str">
            <v>n/a</v>
          </cell>
          <cell r="I94" t="str">
            <v>n/a</v>
          </cell>
          <cell r="J94" t="str">
            <v>n/a</v>
          </cell>
          <cell r="K94" t="str">
            <v>n/a</v>
          </cell>
        </row>
        <row r="95">
          <cell r="C95" t="str">
            <v>n/a</v>
          </cell>
          <cell r="D95" t="str">
            <v>n/a</v>
          </cell>
          <cell r="E95" t="str">
            <v>n/a</v>
          </cell>
          <cell r="F95" t="str">
            <v>n/a</v>
          </cell>
          <cell r="G95" t="str">
            <v>n/a</v>
          </cell>
          <cell r="H95" t="str">
            <v>n/a</v>
          </cell>
          <cell r="I95" t="str">
            <v>n/a</v>
          </cell>
          <cell r="J95" t="str">
            <v>n/a</v>
          </cell>
          <cell r="K95" t="str">
            <v>n/a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3_ha"/>
    </sheetNames>
    <sheetDataSet>
      <sheetData sheetId="0">
        <row r="2">
          <cell r="B2">
            <v>96.543165811263464</v>
          </cell>
          <cell r="C2">
            <v>91.451058556402643</v>
          </cell>
          <cell r="D2">
            <v>98.926375985632646</v>
          </cell>
          <cell r="E2">
            <v>105.33013020073214</v>
          </cell>
          <cell r="F2">
            <v>100.21289112875355</v>
          </cell>
          <cell r="G2">
            <v>94.545003965240994</v>
          </cell>
          <cell r="H2">
            <v>110.45637737317006</v>
          </cell>
          <cell r="I2">
            <v>110.78763343202377</v>
          </cell>
          <cell r="J2">
            <v>109.22083740517409</v>
          </cell>
        </row>
        <row r="3">
          <cell r="B3">
            <v>3.2818382586981887</v>
          </cell>
          <cell r="C3">
            <v>-5.274435753241824</v>
          </cell>
          <cell r="D3">
            <v>8.1741179897000258</v>
          </cell>
          <cell r="E3">
            <v>6.4732526096271226</v>
          </cell>
          <cell r="F3">
            <v>-4.8582860974599074</v>
          </cell>
          <cell r="G3">
            <v>-5.6558463683384357</v>
          </cell>
          <cell r="H3">
            <v>16.829417463220796</v>
          </cell>
          <cell r="I3">
            <v>0.29989763083988485</v>
          </cell>
          <cell r="J3">
            <v>-1.414233681425292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storical Data_Old"/>
      <sheetName val="Historical Data"/>
      <sheetName val="bankruptcies"/>
      <sheetName val="POWERBI"/>
      <sheetName val="README"/>
    </sheetNames>
    <sheetDataSet>
      <sheetData sheetId="0"/>
      <sheetData sheetId="1"/>
      <sheetData sheetId="2">
        <row r="8">
          <cell r="B8">
            <v>1392</v>
          </cell>
        </row>
        <row r="60">
          <cell r="B60">
            <v>847</v>
          </cell>
          <cell r="C60">
            <v>841</v>
          </cell>
          <cell r="D60">
            <v>726</v>
          </cell>
          <cell r="E60">
            <v>709</v>
          </cell>
          <cell r="F60">
            <v>700</v>
          </cell>
          <cell r="G60">
            <v>458</v>
          </cell>
          <cell r="H60">
            <v>364</v>
          </cell>
          <cell r="I60">
            <v>376</v>
          </cell>
          <cell r="J60">
            <v>438</v>
          </cell>
        </row>
        <row r="61">
          <cell r="B61">
            <v>44</v>
          </cell>
          <cell r="C61">
            <v>37</v>
          </cell>
          <cell r="D61">
            <v>38</v>
          </cell>
          <cell r="E61">
            <v>32</v>
          </cell>
          <cell r="F61">
            <v>45</v>
          </cell>
          <cell r="G61">
            <v>19</v>
          </cell>
          <cell r="H61">
            <v>25</v>
          </cell>
          <cell r="I61">
            <v>42</v>
          </cell>
          <cell r="J61">
            <v>52</v>
          </cell>
        </row>
      </sheetData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8_ha"/>
    </sheetNames>
    <sheetDataSet>
      <sheetData sheetId="0">
        <row r="1">
          <cell r="B1" t="str">
            <v>2023</v>
          </cell>
        </row>
        <row r="2">
          <cell r="B2">
            <v>56250.418192371857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8_on"/>
    </sheetNames>
    <sheetDataSet>
      <sheetData sheetId="0">
        <row r="2">
          <cell r="B2">
            <v>57935.598797989711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8_K"/>
    </sheetNames>
    <sheetDataSet>
      <sheetData sheetId="0">
        <row r="2">
          <cell r="B2">
            <v>58251.608769384504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9_ha"/>
    </sheetNames>
    <sheetDataSet>
      <sheetData sheetId="0">
        <row r="2">
          <cell r="A2" t="str">
            <v>2023</v>
          </cell>
          <cell r="B2">
            <v>0.92952845836575804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_ha"/>
    </sheetNames>
    <sheetDataSet>
      <sheetData sheetId="0">
        <row r="1">
          <cell r="E1" t="str">
            <v>2021</v>
          </cell>
          <cell r="F1" t="str">
            <v>2022</v>
          </cell>
          <cell r="G1" t="str">
            <v>2023</v>
          </cell>
          <cell r="H1" t="str">
            <v>2024</v>
          </cell>
          <cell r="I1" t="str">
            <v>2025</v>
          </cell>
          <cell r="J1" t="str">
            <v>2026</v>
          </cell>
          <cell r="K1" t="str">
            <v>2027</v>
          </cell>
          <cell r="L1" t="str">
            <v>2028</v>
          </cell>
        </row>
        <row r="2">
          <cell r="B2">
            <v>33615.292957315272</v>
          </cell>
          <cell r="E2">
            <v>33524.628809907488</v>
          </cell>
          <cell r="F2">
            <v>34294.870066256786</v>
          </cell>
          <cell r="G2">
            <v>34365.013181835398</v>
          </cell>
          <cell r="H2">
            <v>34473.824999999997</v>
          </cell>
          <cell r="I2">
            <v>35352</v>
          </cell>
          <cell r="J2">
            <v>36250.192499999997</v>
          </cell>
          <cell r="K2">
            <v>37171.565000000002</v>
          </cell>
          <cell r="L2">
            <v>38078.160000000003</v>
          </cell>
        </row>
        <row r="3">
          <cell r="E3">
            <v>4.0733310503878961</v>
          </cell>
          <cell r="F3">
            <v>2.2975385073366494</v>
          </cell>
          <cell r="G3">
            <v>0.20452946881879264</v>
          </cell>
          <cell r="H3">
            <v>0.31663546173790191</v>
          </cell>
          <cell r="I3">
            <v>2.5473674592245032</v>
          </cell>
          <cell r="J3">
            <v>2.540711982348931</v>
          </cell>
          <cell r="K3">
            <v>2.5417037440560009</v>
          </cell>
          <cell r="L3">
            <v>2.4389476203113825</v>
          </cell>
        </row>
        <row r="4">
          <cell r="E4">
            <v>409.65</v>
          </cell>
          <cell r="F4">
            <v>418.59999999999997</v>
          </cell>
          <cell r="G4">
            <v>414.05</v>
          </cell>
          <cell r="H4">
            <v>421.36642499999999</v>
          </cell>
          <cell r="I4">
            <v>425.04854999999998</v>
          </cell>
          <cell r="J4">
            <v>433.23467499999998</v>
          </cell>
          <cell r="K4">
            <v>438.34642500000001</v>
          </cell>
          <cell r="L4">
            <v>442.86632500000002</v>
          </cell>
        </row>
        <row r="5">
          <cell r="E5">
            <v>6.6588556922476005</v>
          </cell>
          <cell r="F5">
            <v>2.1847918955205659</v>
          </cell>
          <cell r="G5">
            <v>-1.0869565217391242</v>
          </cell>
          <cell r="H5">
            <v>1.7670390049510987</v>
          </cell>
          <cell r="I5">
            <v>0.87385344003143572</v>
          </cell>
          <cell r="J5">
            <v>1.9259270499805359</v>
          </cell>
          <cell r="K5">
            <v>1.1799032475874771</v>
          </cell>
          <cell r="L5">
            <v>1.0311250970051811</v>
          </cell>
        </row>
        <row r="6">
          <cell r="E6">
            <v>6.8250000000000002</v>
          </cell>
          <cell r="F6">
            <v>4.875</v>
          </cell>
          <cell r="G6">
            <v>5.45</v>
          </cell>
          <cell r="H6">
            <v>6.3877027499999999</v>
          </cell>
          <cell r="I6">
            <v>6.2016819999999999</v>
          </cell>
          <cell r="J6">
            <v>5.9022494999999999</v>
          </cell>
          <cell r="K6">
            <v>5.6026782500000003</v>
          </cell>
          <cell r="L6">
            <v>5.5030039999999998</v>
          </cell>
        </row>
        <row r="7">
          <cell r="E7">
            <v>53734.766811318259</v>
          </cell>
          <cell r="F7">
            <v>55811.410418924228</v>
          </cell>
          <cell r="G7">
            <v>56250.418192371857</v>
          </cell>
          <cell r="H7">
            <v>58241.850533774712</v>
          </cell>
          <cell r="I7">
            <v>59326.138213901635</v>
          </cell>
          <cell r="J7">
            <v>60852.175195508076</v>
          </cell>
          <cell r="K7">
            <v>62222.403171555605</v>
          </cell>
          <cell r="L7">
            <v>63669.095042996109</v>
          </cell>
        </row>
        <row r="8">
          <cell r="E8">
            <v>3.6220059006583538</v>
          </cell>
          <cell r="F8">
            <v>3.8646182552495301</v>
          </cell>
          <cell r="G8">
            <v>0.78659143381685226</v>
          </cell>
          <cell r="H8">
            <v>3.540297842039708</v>
          </cell>
          <cell r="I8">
            <v>1.8616985384043439</v>
          </cell>
          <cell r="J8">
            <v>2.5722843716951216</v>
          </cell>
          <cell r="K8">
            <v>2.2517321223854525</v>
          </cell>
          <cell r="L8">
            <v>2.3250337462083825</v>
          </cell>
        </row>
        <row r="9">
          <cell r="E9">
            <v>822.64012500000024</v>
          </cell>
          <cell r="F9">
            <v>833.87500000000034</v>
          </cell>
          <cell r="G9">
            <v>848.38107774194373</v>
          </cell>
          <cell r="H9">
            <v>859.66980000000001</v>
          </cell>
          <cell r="I9">
            <v>868.82505000000003</v>
          </cell>
          <cell r="J9">
            <v>878.06475</v>
          </cell>
          <cell r="K9">
            <v>886.6816</v>
          </cell>
          <cell r="L9">
            <v>894.68560000000002</v>
          </cell>
        </row>
        <row r="10">
          <cell r="E10">
            <v>0.96808525164309156</v>
          </cell>
          <cell r="F10">
            <v>1.365709580480301</v>
          </cell>
          <cell r="G10">
            <v>1.7395985899497424</v>
          </cell>
          <cell r="H10">
            <v>1.3306192882215573</v>
          </cell>
          <cell r="I10">
            <v>1.0649728535305103</v>
          </cell>
          <cell r="J10">
            <v>1.0634707182993752</v>
          </cell>
          <cell r="K10">
            <v>0.98134562399867509</v>
          </cell>
          <cell r="L10">
            <v>0.90269156369096049</v>
          </cell>
        </row>
        <row r="11">
          <cell r="E11">
            <v>4187</v>
          </cell>
          <cell r="F11">
            <v>3530.0000000000005</v>
          </cell>
          <cell r="G11">
            <v>3701</v>
          </cell>
          <cell r="H11">
            <v>3334.1666666666665</v>
          </cell>
          <cell r="I11">
            <v>4648.9997499999999</v>
          </cell>
          <cell r="J11">
            <v>4734.9999999999991</v>
          </cell>
          <cell r="K11">
            <v>4790</v>
          </cell>
          <cell r="L11">
            <v>4970.0000000000009</v>
          </cell>
        </row>
        <row r="12">
          <cell r="E12">
            <v>13380.867230145177</v>
          </cell>
          <cell r="F12">
            <v>14867.034748328311</v>
          </cell>
          <cell r="G12">
            <v>14495.452276307376</v>
          </cell>
          <cell r="H12">
            <v>15012.05</v>
          </cell>
          <cell r="I12">
            <v>15522.914999999999</v>
          </cell>
          <cell r="J12">
            <v>16039.807499999999</v>
          </cell>
          <cell r="K12">
            <v>16604.545000000002</v>
          </cell>
          <cell r="L12">
            <v>17189.47</v>
          </cell>
        </row>
        <row r="13">
          <cell r="E13">
            <v>9.1550174590936617</v>
          </cell>
          <cell r="F13">
            <v>11.10666067170154</v>
          </cell>
          <cell r="G13">
            <v>-2.4993717867156873</v>
          </cell>
          <cell r="H13">
            <v>3.5638606774415438</v>
          </cell>
          <cell r="I13">
            <v>3.4030328969061552</v>
          </cell>
          <cell r="J13">
            <v>3.3298674894502778</v>
          </cell>
          <cell r="K13">
            <v>3.5208496111939214</v>
          </cell>
          <cell r="L13">
            <v>3.5226800854826212</v>
          </cell>
        </row>
        <row r="14">
          <cell r="E14">
            <v>1.4317500000000001</v>
          </cell>
          <cell r="F14">
            <v>1.5290833333333331</v>
          </cell>
          <cell r="G14">
            <v>1.586916666666667</v>
          </cell>
          <cell r="H14">
            <v>1.6296553580089848</v>
          </cell>
          <cell r="I14">
            <v>1.663953130863796</v>
          </cell>
          <cell r="J14">
            <v>1.6974468491408548</v>
          </cell>
          <cell r="K14">
            <v>1.7311737574553117</v>
          </cell>
          <cell r="L14">
            <v>1.7656775957285404</v>
          </cell>
        </row>
        <row r="15">
          <cell r="E15">
            <v>3.4750662490966144</v>
          </cell>
          <cell r="F15">
            <v>6.7982073220417716</v>
          </cell>
          <cell r="G15">
            <v>3.7822224644395108</v>
          </cell>
          <cell r="H15">
            <v>2.6931906532994487</v>
          </cell>
          <cell r="I15">
            <v>2.104602834351077</v>
          </cell>
          <cell r="J15">
            <v>2.0129003429123937</v>
          </cell>
          <cell r="K15">
            <v>1.9869198456215154</v>
          </cell>
          <cell r="L15">
            <v>1.9930892623942542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_ha"/>
    </sheetNames>
    <sheetDataSet>
      <sheetData sheetId="0">
        <row r="2">
          <cell r="A2" t="str">
            <v>2021</v>
          </cell>
          <cell r="B2">
            <v>5868.0000000000018</v>
          </cell>
          <cell r="C2">
            <v>-1694.9375000000002</v>
          </cell>
          <cell r="D2">
            <v>3855.1875000000014</v>
          </cell>
        </row>
        <row r="3">
          <cell r="A3" t="str">
            <v>2022</v>
          </cell>
          <cell r="B3">
            <v>10439.75</v>
          </cell>
          <cell r="C3">
            <v>-2507.75</v>
          </cell>
          <cell r="D3">
            <v>3348.8749999999991</v>
          </cell>
        </row>
        <row r="4">
          <cell r="A4" t="str">
            <v>2023</v>
          </cell>
          <cell r="B4">
            <v>12350.455764002425</v>
          </cell>
          <cell r="C4">
            <v>-2687.8018128967565</v>
          </cell>
          <cell r="D4">
            <v>3319.3696178275923</v>
          </cell>
        </row>
        <row r="5">
          <cell r="A5" t="str">
            <v>2024</v>
          </cell>
          <cell r="B5">
            <v>8800.0000000000018</v>
          </cell>
          <cell r="C5">
            <v>-2402.23675</v>
          </cell>
          <cell r="D5">
            <v>3350.0002500000001</v>
          </cell>
        </row>
        <row r="6">
          <cell r="A6" t="str">
            <v>2025</v>
          </cell>
          <cell r="B6">
            <v>7750.0000000000045</v>
          </cell>
          <cell r="C6">
            <v>-2350.2464999999997</v>
          </cell>
          <cell r="D6">
            <v>3429.9994999999999</v>
          </cell>
        </row>
        <row r="7">
          <cell r="A7" t="str">
            <v>2026</v>
          </cell>
          <cell r="B7">
            <v>6899.9999999999982</v>
          </cell>
          <cell r="C7">
            <v>-1163.2417250000001</v>
          </cell>
          <cell r="D7">
            <v>3480.0005000000001</v>
          </cell>
        </row>
        <row r="8">
          <cell r="A8" t="str">
            <v>2027</v>
          </cell>
          <cell r="B8">
            <v>5250.0000000000027</v>
          </cell>
          <cell r="C8">
            <v>-681.97837499999991</v>
          </cell>
          <cell r="D8">
            <v>3480.0005000000001</v>
          </cell>
        </row>
        <row r="9">
          <cell r="A9" t="str">
            <v>2028</v>
          </cell>
          <cell r="B9">
            <v>4700.0000000000055</v>
          </cell>
          <cell r="C9">
            <v>-245.5099975</v>
          </cell>
          <cell r="D9">
            <v>3550.0002500000001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6_HA"/>
    </sheetNames>
    <sheetDataSet>
      <sheetData sheetId="0">
        <row r="2">
          <cell r="A2" t="str">
            <v>2018</v>
          </cell>
          <cell r="B2">
            <v>3.6159999999999997</v>
          </cell>
          <cell r="C2">
            <v>212.84300000000007</v>
          </cell>
        </row>
        <row r="3">
          <cell r="A3" t="str">
            <v>2019</v>
          </cell>
          <cell r="B3">
            <v>3.2039999999999997</v>
          </cell>
          <cell r="C3">
            <v>208.68500000000003</v>
          </cell>
        </row>
        <row r="4">
          <cell r="A4" t="str">
            <v>2020</v>
          </cell>
          <cell r="B4">
            <v>3.431</v>
          </cell>
          <cell r="C4">
            <v>217.88000000000005</v>
          </cell>
        </row>
        <row r="5">
          <cell r="A5" t="str">
            <v>2021</v>
          </cell>
          <cell r="B5">
            <v>4.1870000000000003</v>
          </cell>
          <cell r="C5">
            <v>271.19800000000004</v>
          </cell>
        </row>
        <row r="6">
          <cell r="A6" t="str">
            <v>2022</v>
          </cell>
          <cell r="B6">
            <v>3.5300000000000002</v>
          </cell>
          <cell r="C6">
            <v>261.84900000000005</v>
          </cell>
        </row>
        <row r="7">
          <cell r="A7" t="str">
            <v>2023</v>
          </cell>
          <cell r="B7">
            <v>3.7010000000000001</v>
          </cell>
          <cell r="C7">
            <v>240.75149999999999</v>
          </cell>
        </row>
        <row r="8">
          <cell r="A8" t="str">
            <v>2024</v>
          </cell>
          <cell r="B8">
            <v>3.3341666666666665</v>
          </cell>
          <cell r="C8">
            <v>245.3159</v>
          </cell>
        </row>
        <row r="9">
          <cell r="A9" t="str">
            <v>2025</v>
          </cell>
          <cell r="B9">
            <v>4.6489997499999998</v>
          </cell>
          <cell r="C9">
            <v>249.49317500000001</v>
          </cell>
        </row>
        <row r="10">
          <cell r="A10" t="str">
            <v>2026</v>
          </cell>
          <cell r="B10">
            <v>4.7349999999999994</v>
          </cell>
          <cell r="C10">
            <v>248.62562500000001</v>
          </cell>
        </row>
        <row r="11">
          <cell r="A11" t="str">
            <v>2027</v>
          </cell>
          <cell r="B11">
            <v>4.79</v>
          </cell>
          <cell r="C11">
            <v>246.34117499999999</v>
          </cell>
        </row>
        <row r="12">
          <cell r="A12" t="str">
            <v>2028</v>
          </cell>
          <cell r="B12">
            <v>4.9700000000000006</v>
          </cell>
          <cell r="C12">
            <v>242.782825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7_on"/>
    </sheetNames>
    <sheetDataSet>
      <sheetData sheetId="0">
        <row r="1">
          <cell r="B1" t="str">
            <v>2023</v>
          </cell>
        </row>
        <row r="2">
          <cell r="B2">
            <v>1</v>
          </cell>
        </row>
        <row r="3">
          <cell r="B3">
            <v>0.20039654504804422</v>
          </cell>
        </row>
        <row r="4">
          <cell r="B4">
            <v>0.30298604302171045</v>
          </cell>
        </row>
        <row r="5">
          <cell r="B5">
            <v>5.0147002306358553E-2</v>
          </cell>
        </row>
        <row r="6">
          <cell r="B6">
            <v>0.14195345074219926</v>
          </cell>
        </row>
        <row r="7">
          <cell r="B7">
            <v>0.19409228395301412</v>
          </cell>
        </row>
        <row r="8">
          <cell r="B8">
            <v>0.11042467492867351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7_ha"/>
    </sheetNames>
    <sheetDataSet>
      <sheetData sheetId="0">
        <row r="2">
          <cell r="B2">
            <v>1</v>
          </cell>
        </row>
        <row r="3">
          <cell r="B3">
            <v>0.2149759159327721</v>
          </cell>
        </row>
        <row r="4">
          <cell r="B4">
            <v>0.26378658955482209</v>
          </cell>
        </row>
        <row r="5">
          <cell r="B5">
            <v>4.1649493011710711E-2</v>
          </cell>
        </row>
        <row r="6">
          <cell r="B6">
            <v>0.15815818921971456</v>
          </cell>
        </row>
        <row r="7">
          <cell r="B7">
            <v>0.21896667104357448</v>
          </cell>
        </row>
        <row r="8">
          <cell r="B8">
            <v>0.1024631412374061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7_k"/>
    </sheetNames>
    <sheetDataSet>
      <sheetData sheetId="0">
        <row r="1">
          <cell r="B1" t="str">
            <v>2023</v>
          </cell>
        </row>
        <row r="2">
          <cell r="B2">
            <v>1</v>
          </cell>
        </row>
        <row r="3">
          <cell r="B3">
            <v>0.20485928774063367</v>
          </cell>
        </row>
        <row r="4">
          <cell r="B4">
            <v>0.27388265923101462</v>
          </cell>
        </row>
        <row r="5">
          <cell r="B5">
            <v>5.0787629570137625E-2</v>
          </cell>
        </row>
        <row r="6">
          <cell r="B6">
            <v>0.14733522971888688</v>
          </cell>
        </row>
        <row r="7">
          <cell r="B7">
            <v>0.20633036002752841</v>
          </cell>
        </row>
        <row r="8">
          <cell r="B8">
            <v>0.11680483371179863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2_ha"/>
    </sheetNames>
    <sheetDataSet>
      <sheetData sheetId="0">
        <row r="2">
          <cell r="A2" t="str">
            <v>2018</v>
          </cell>
          <cell r="B2">
            <v>18728.908333333333</v>
          </cell>
          <cell r="C2">
            <v>407.4</v>
          </cell>
        </row>
        <row r="3">
          <cell r="A3" t="str">
            <v>2019</v>
          </cell>
          <cell r="B3">
            <v>19114.424999999999</v>
          </cell>
          <cell r="C3">
            <v>414.77500000000003</v>
          </cell>
        </row>
        <row r="4">
          <cell r="A4" t="str">
            <v>2020</v>
          </cell>
          <cell r="B4">
            <v>18047.091666666667</v>
          </cell>
          <cell r="C4">
            <v>384.07499999999999</v>
          </cell>
        </row>
        <row r="5">
          <cell r="A5" t="str">
            <v>2021</v>
          </cell>
          <cell r="B5">
            <v>18949.716666666667</v>
          </cell>
          <cell r="C5">
            <v>409.65</v>
          </cell>
        </row>
        <row r="6">
          <cell r="A6" t="str">
            <v>2022</v>
          </cell>
          <cell r="B6">
            <v>19699.783333333333</v>
          </cell>
          <cell r="C6">
            <v>418.59999999999997</v>
          </cell>
        </row>
        <row r="7">
          <cell r="A7" t="str">
            <v>2023</v>
          </cell>
          <cell r="B7">
            <v>20182.066666666666</v>
          </cell>
          <cell r="C7">
            <v>414.05</v>
          </cell>
        </row>
        <row r="8">
          <cell r="A8" t="str">
            <v>2024</v>
          </cell>
          <cell r="B8">
            <v>20508.895</v>
          </cell>
          <cell r="C8">
            <v>421.36642499999999</v>
          </cell>
        </row>
        <row r="9">
          <cell r="A9" t="str">
            <v>2025</v>
          </cell>
          <cell r="B9">
            <v>20883.11</v>
          </cell>
          <cell r="C9">
            <v>425.04854999999998</v>
          </cell>
        </row>
        <row r="10">
          <cell r="A10" t="str">
            <v>2026</v>
          </cell>
          <cell r="B10">
            <v>21239.95</v>
          </cell>
          <cell r="C10">
            <v>433.23467499999998</v>
          </cell>
        </row>
        <row r="11">
          <cell r="A11" t="str">
            <v>2027</v>
          </cell>
          <cell r="B11">
            <v>21496.772499999999</v>
          </cell>
          <cell r="C11">
            <v>438.34642500000001</v>
          </cell>
        </row>
        <row r="12">
          <cell r="A12" t="str">
            <v>2028</v>
          </cell>
          <cell r="B12">
            <v>21700.7925</v>
          </cell>
          <cell r="C12">
            <v>442.86632500000002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l estate"/>
      <sheetName val="crea codes"/>
      <sheetName val="CMHC ID - Absorption Volumes"/>
      <sheetName val="CMHC ID - Rental Mkt"/>
      <sheetName val="POWERBI"/>
      <sheetName val="README"/>
      <sheetName val="real estate_2023"/>
      <sheetName val="real estate_2022"/>
      <sheetName val="real estate_2021 "/>
      <sheetName val="real estate_2020"/>
      <sheetName val="real estate_2019"/>
      <sheetName val="real estate_2018"/>
      <sheetName val="real estate_FR"/>
      <sheetName val="real estate_2017"/>
      <sheetName val="real estate_2016"/>
      <sheetName val="real estate_2015"/>
      <sheetName val="real estate_2014"/>
      <sheetName val="real estate_2013"/>
      <sheetName val="real estate_2012"/>
      <sheetName val="real estate_2011"/>
      <sheetName val="real estate_2010"/>
      <sheetName val="real estate_2009"/>
      <sheetName val="real estate_2022 "/>
      <sheetName val="real estate "/>
      <sheetName val="real estate_2021"/>
    </sheetNames>
    <sheetDataSet>
      <sheetData sheetId="0">
        <row r="4">
          <cell r="A4" t="str">
            <v>New Housing Market (2023)</v>
          </cell>
        </row>
        <row r="5">
          <cell r="A5" t="str">
            <v xml:space="preserve">Single-Detached Absorptions  </v>
          </cell>
          <cell r="K5">
            <v>654</v>
          </cell>
        </row>
        <row r="6">
          <cell r="A6" t="str">
            <v>Growth</v>
          </cell>
          <cell r="K6">
            <v>2.3474178403755763E-2</v>
          </cell>
        </row>
        <row r="7">
          <cell r="A7" t="str">
            <v xml:space="preserve">Average Price of Absorbed Single-Detached Units </v>
          </cell>
          <cell r="K7">
            <v>949796</v>
          </cell>
        </row>
        <row r="8">
          <cell r="A8" t="str">
            <v>Growth</v>
          </cell>
          <cell r="K8">
            <v>0.201133101485931</v>
          </cell>
        </row>
        <row r="9">
          <cell r="A9" t="str">
            <v>Resale Housing Market (2023)</v>
          </cell>
        </row>
        <row r="10">
          <cell r="A10" t="str">
            <v xml:space="preserve">Unit Sales </v>
          </cell>
          <cell r="K10">
            <v>10000</v>
          </cell>
        </row>
        <row r="11">
          <cell r="A11" t="str">
            <v>Growth</v>
          </cell>
          <cell r="K11">
            <v>-0.10442414472505823</v>
          </cell>
        </row>
        <row r="12">
          <cell r="A12" t="str">
            <v>Average Price</v>
          </cell>
          <cell r="K12">
            <v>872252</v>
          </cell>
        </row>
        <row r="13">
          <cell r="A13" t="str">
            <v>Growth</v>
          </cell>
          <cell r="K13">
            <v>-9.6638955718062913E-2</v>
          </cell>
        </row>
        <row r="14">
          <cell r="A14" t="str">
            <v>Apartment Market (October 2023) (1)</v>
          </cell>
        </row>
        <row r="15">
          <cell r="A15" t="str">
            <v>Two Bedroom Vacancy Rate</v>
          </cell>
          <cell r="K15">
            <v>2.1000000000000001E-2</v>
          </cell>
        </row>
        <row r="16">
          <cell r="A16" t="str">
            <v>Average Two Bedroom Rent</v>
          </cell>
          <cell r="K16">
            <v>1622</v>
          </cell>
        </row>
        <row r="18">
          <cell r="A18" t="str">
            <v xml:space="preserve">(1) In structures with at least six units.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New Housing Market (2022)</v>
          </cell>
        </row>
      </sheetData>
      <sheetData sheetId="8">
        <row r="6">
          <cell r="A6" t="str">
            <v>Growth</v>
          </cell>
        </row>
      </sheetData>
      <sheetData sheetId="9"/>
      <sheetData sheetId="10">
        <row r="4">
          <cell r="A4" t="str">
            <v>New Housing Market (2019)</v>
          </cell>
        </row>
        <row r="5">
          <cell r="A5" t="str">
            <v>Single-Detached Absorptions</v>
          </cell>
          <cell r="K5">
            <v>598</v>
          </cell>
        </row>
        <row r="6">
          <cell r="A6" t="str">
            <v>Growth</v>
          </cell>
          <cell r="K6">
            <v>-0.14935988620199148</v>
          </cell>
        </row>
        <row r="7">
          <cell r="A7" t="str">
            <v>Average Price of Absorbed Single-Detached Units</v>
          </cell>
          <cell r="K7">
            <v>742995</v>
          </cell>
        </row>
        <row r="8">
          <cell r="A8" t="str">
            <v>Growth</v>
          </cell>
          <cell r="K8">
            <v>2.218978463705823E-2</v>
          </cell>
        </row>
        <row r="9">
          <cell r="A9" t="str">
            <v>Resale Housing Market (2019)</v>
          </cell>
        </row>
        <row r="10">
          <cell r="A10" t="str">
            <v>Unit Sales</v>
          </cell>
          <cell r="K10">
            <v>13328</v>
          </cell>
        </row>
        <row r="11">
          <cell r="A11" t="str">
            <v>Growth</v>
          </cell>
          <cell r="K11">
            <v>0.11708993378593591</v>
          </cell>
        </row>
        <row r="12">
          <cell r="A12" t="str">
            <v>Average Price</v>
          </cell>
          <cell r="K12">
            <v>590720</v>
          </cell>
        </row>
        <row r="13">
          <cell r="A13" t="str">
            <v>Growth</v>
          </cell>
          <cell r="K13">
            <v>4.95717991542588E-2</v>
          </cell>
        </row>
        <row r="14">
          <cell r="A14" t="str">
            <v>Apartment Market (October 2019) (1)</v>
          </cell>
        </row>
        <row r="15">
          <cell r="A15" t="str">
            <v>Two Bedroom Vacancy Rate</v>
          </cell>
          <cell r="K15">
            <v>3.1E-2</v>
          </cell>
        </row>
        <row r="16">
          <cell r="A16" t="str">
            <v>Average Two Bedroom Rent</v>
          </cell>
          <cell r="K16">
            <v>1220</v>
          </cell>
        </row>
        <row r="18">
          <cell r="A18" t="str">
            <v xml:space="preserve">(1) In structures with at least six units.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heet1"/>
      <sheetName val="#REF"/>
    </sheetNames>
    <sheetDataSet>
      <sheetData sheetId="0">
        <row r="60">
          <cell r="B60">
            <v>13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wth"/>
      <sheetName val="Chart1"/>
      <sheetName val="ranking"/>
    </sheetNames>
    <sheetDataSet>
      <sheetData sheetId="0"/>
      <sheetData sheetId="1" refreshError="1"/>
      <sheetData sheetId="2">
        <row r="72">
          <cell r="B72" t="str">
            <v>#7</v>
          </cell>
        </row>
        <row r="76">
          <cell r="B76" t="str">
            <v>#12</v>
          </cell>
          <cell r="D76" t="str">
            <v>#13</v>
          </cell>
          <cell r="F76" t="str">
            <v>#6</v>
          </cell>
          <cell r="H76" t="str">
            <v>#12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OWERBI"/>
      <sheetName val="original copy"/>
    </sheetNames>
    <sheetDataSet>
      <sheetData sheetId="0">
        <row r="20">
          <cell r="B20" t="str">
            <v>A+</v>
          </cell>
        </row>
        <row r="31">
          <cell r="B31" t="str">
            <v>AAA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</sheetNames>
    <sheetDataSet>
      <sheetData sheetId="0">
        <row r="2">
          <cell r="B2">
            <v>2023</v>
          </cell>
          <cell r="F2" t="str">
            <v>Oct. 2023</v>
          </cell>
        </row>
        <row r="16">
          <cell r="C16">
            <v>1.2878174522326846</v>
          </cell>
          <cell r="G16">
            <v>1.1898454746136866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3_ha"/>
    </sheetNames>
    <sheetDataSet>
      <sheetData sheetId="0">
        <row r="2">
          <cell r="B2">
            <v>11.909960411952603</v>
          </cell>
          <cell r="C2">
            <v>-0.9213107671316112</v>
          </cell>
        </row>
        <row r="3">
          <cell r="B3">
            <v>3.6521065604832925</v>
          </cell>
          <cell r="C3">
            <v>1.7481906011047155</v>
          </cell>
        </row>
        <row r="4">
          <cell r="B4">
            <v>5.0035685333702284</v>
          </cell>
          <cell r="C4">
            <v>1.7339593316186175</v>
          </cell>
        </row>
        <row r="5">
          <cell r="B5">
            <v>5.7425134331044569</v>
          </cell>
          <cell r="C5">
            <v>0.59312128182640311</v>
          </cell>
        </row>
        <row r="6">
          <cell r="B6">
            <v>1.496525637010282</v>
          </cell>
          <cell r="C6">
            <v>0.17553536146952542</v>
          </cell>
        </row>
        <row r="7">
          <cell r="B7">
            <v>8.072134715914947</v>
          </cell>
          <cell r="C7">
            <v>2.1661520230319198</v>
          </cell>
        </row>
        <row r="8">
          <cell r="B8">
            <v>-3.1581975551867258</v>
          </cell>
          <cell r="C8">
            <v>0.48748309718835703</v>
          </cell>
        </row>
        <row r="9">
          <cell r="B9">
            <v>12.990284821657315</v>
          </cell>
          <cell r="C9">
            <v>2.0899400476560359</v>
          </cell>
        </row>
        <row r="10">
          <cell r="B10">
            <v>-8.4027975720417878</v>
          </cell>
          <cell r="C10">
            <v>1.3114745275437212</v>
          </cell>
        </row>
        <row r="11">
          <cell r="B11">
            <v>1.7670390049510987</v>
          </cell>
          <cell r="C11">
            <v>1.2519002721887995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4_ha"/>
    </sheetNames>
    <sheetDataSet>
      <sheetData sheetId="0">
        <row r="2">
          <cell r="B2">
            <v>-1.8002704009856263E-2</v>
          </cell>
          <cell r="C2">
            <v>0.699974114472246</v>
          </cell>
        </row>
        <row r="3">
          <cell r="B3">
            <v>1.7609323455636927</v>
          </cell>
          <cell r="C3">
            <v>2.3438512080365514</v>
          </cell>
        </row>
        <row r="4">
          <cell r="B4">
            <v>0.45992399399461537</v>
          </cell>
          <cell r="C4">
            <v>2.2248938175840616</v>
          </cell>
        </row>
        <row r="5">
          <cell r="B5">
            <v>0.45454957252817341</v>
          </cell>
          <cell r="C5">
            <v>2.5174791208375291</v>
          </cell>
        </row>
        <row r="6">
          <cell r="B6">
            <v>1.5160392006512424</v>
          </cell>
          <cell r="C6">
            <v>1.9243284209925493</v>
          </cell>
        </row>
        <row r="7">
          <cell r="B7">
            <v>1.6093058722981946</v>
          </cell>
          <cell r="C7">
            <v>3.2246794244313204</v>
          </cell>
        </row>
        <row r="8">
          <cell r="B8">
            <v>-0.99834142180063035</v>
          </cell>
          <cell r="C8">
            <v>2.6016515392634831</v>
          </cell>
        </row>
        <row r="9">
          <cell r="B9">
            <v>1.3500702770403938</v>
          </cell>
          <cell r="C9">
            <v>2.7568443443872326</v>
          </cell>
        </row>
        <row r="10">
          <cell r="B10">
            <v>-0.74773745170386707</v>
          </cell>
          <cell r="C10">
            <v>3.0702562038396497</v>
          </cell>
        </row>
        <row r="11">
          <cell r="B11">
            <v>0.31663546173790191</v>
          </cell>
          <cell r="C11">
            <v>2.5171727159492452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4_ha"/>
    </sheetNames>
    <sheetDataSet>
      <sheetData sheetId="0">
        <row r="1">
          <cell r="B1" t="str">
            <v>2021</v>
          </cell>
          <cell r="C1" t="str">
            <v>2022</v>
          </cell>
          <cell r="D1" t="str">
            <v>2023</v>
          </cell>
          <cell r="E1" t="str">
            <v>2024</v>
          </cell>
          <cell r="F1" t="str">
            <v>2025</v>
          </cell>
          <cell r="G1" t="str">
            <v>2026</v>
          </cell>
          <cell r="H1" t="str">
            <v>2027</v>
          </cell>
          <cell r="I1" t="str">
            <v>2028</v>
          </cell>
        </row>
        <row r="2">
          <cell r="B2">
            <v>409.65</v>
          </cell>
          <cell r="C2">
            <v>418.59999999999997</v>
          </cell>
          <cell r="D2">
            <v>414.05</v>
          </cell>
          <cell r="E2">
            <v>421.36642499999999</v>
          </cell>
          <cell r="F2">
            <v>425.04854999999998</v>
          </cell>
          <cell r="G2">
            <v>433.23467499999998</v>
          </cell>
          <cell r="H2">
            <v>438.34642500000001</v>
          </cell>
          <cell r="I2">
            <v>442.86632500000002</v>
          </cell>
        </row>
        <row r="3">
          <cell r="B3">
            <v>6.6588556922476005</v>
          </cell>
          <cell r="C3">
            <v>2.1847918955205659</v>
          </cell>
          <cell r="D3">
            <v>-1.0869565217391242</v>
          </cell>
          <cell r="E3">
            <v>1.7670390049510987</v>
          </cell>
          <cell r="F3">
            <v>0.87385344003143572</v>
          </cell>
          <cell r="G3">
            <v>1.9259270499805359</v>
          </cell>
          <cell r="H3">
            <v>1.1799032475874771</v>
          </cell>
          <cell r="I3">
            <v>1.0311250970051811</v>
          </cell>
        </row>
        <row r="4">
          <cell r="B4">
            <v>42.606695940851019</v>
          </cell>
          <cell r="C4">
            <v>47.052865638193808</v>
          </cell>
          <cell r="D4">
            <v>48.139348806456496</v>
          </cell>
          <cell r="E4">
            <v>44.183392499999997</v>
          </cell>
          <cell r="F4">
            <v>46.106557500000001</v>
          </cell>
          <cell r="G4">
            <v>46.337222500000003</v>
          </cell>
          <cell r="H4">
            <v>46.138472499999999</v>
          </cell>
          <cell r="I4">
            <v>45.848714999999999</v>
          </cell>
        </row>
        <row r="5">
          <cell r="B5">
            <v>-5.7451596561945202</v>
          </cell>
          <cell r="C5">
            <v>10.435377818348579</v>
          </cell>
          <cell r="D5">
            <v>2.3090690726831564</v>
          </cell>
          <cell r="E5">
            <v>-8.2177187779613696</v>
          </cell>
          <cell r="F5">
            <v>4.3526874945150507</v>
          </cell>
          <cell r="G5">
            <v>0.5002867542214684</v>
          </cell>
          <cell r="H5">
            <v>-0.42892083141151671</v>
          </cell>
          <cell r="I5">
            <v>-0.62801710654811771</v>
          </cell>
        </row>
        <row r="6">
          <cell r="B6">
            <v>30.737665310610637</v>
          </cell>
          <cell r="C6">
            <v>30.676112107366269</v>
          </cell>
          <cell r="D6">
            <v>35.173751480194447</v>
          </cell>
          <cell r="E6">
            <v>31.980630000000001</v>
          </cell>
          <cell r="F6">
            <v>32.887754999999999</v>
          </cell>
          <cell r="G6">
            <v>33.288645000000002</v>
          </cell>
          <cell r="H6">
            <v>34.163460000000001</v>
          </cell>
          <cell r="I6">
            <v>34.959764999999997</v>
          </cell>
        </row>
        <row r="7">
          <cell r="B7">
            <v>-21.960540311881637</v>
          </cell>
          <cell r="C7">
            <v>-0.20025334592709276</v>
          </cell>
          <cell r="D7">
            <v>14.661699491403791</v>
          </cell>
          <cell r="E7">
            <v>-9.0781373775055574</v>
          </cell>
          <cell r="F7">
            <v>2.8364825833637308</v>
          </cell>
          <cell r="G7">
            <v>1.2189643227395797</v>
          </cell>
          <cell r="H7">
            <v>2.6279681855479575</v>
          </cell>
          <cell r="I7">
            <v>2.3308675409340784</v>
          </cell>
        </row>
        <row r="8">
          <cell r="B8">
            <v>5.6878657201339804</v>
          </cell>
          <cell r="C8">
            <v>4.5738609254739133</v>
          </cell>
          <cell r="D8">
            <v>5.6976777053133372</v>
          </cell>
          <cell r="E8">
            <v>5.3673595000000001</v>
          </cell>
          <cell r="F8">
            <v>5.091602</v>
          </cell>
          <cell r="G8">
            <v>5.1929835000000004</v>
          </cell>
          <cell r="H8">
            <v>5.1537509999999997</v>
          </cell>
          <cell r="I8">
            <v>5.0848364999999998</v>
          </cell>
        </row>
        <row r="9">
          <cell r="B9">
            <v>39.799932040910235</v>
          </cell>
          <cell r="C9">
            <v>-19.58563808418856</v>
          </cell>
          <cell r="D9">
            <v>24.570418693327056</v>
          </cell>
          <cell r="E9">
            <v>-5.7974182183962553</v>
          </cell>
          <cell r="F9">
            <v>-5.1376752386345643</v>
          </cell>
          <cell r="G9">
            <v>1.9911513115125734</v>
          </cell>
          <cell r="H9">
            <v>-0.75549055759566164</v>
          </cell>
          <cell r="I9">
            <v>-1.337171702707407</v>
          </cell>
        </row>
        <row r="10">
          <cell r="B10">
            <v>65.489811614528179</v>
          </cell>
          <cell r="C10">
            <v>71.049667653799759</v>
          </cell>
          <cell r="D10">
            <v>65.485398246422818</v>
          </cell>
          <cell r="E10">
            <v>63.41724</v>
          </cell>
          <cell r="F10">
            <v>66.330937500000005</v>
          </cell>
          <cell r="G10">
            <v>65.228700000000003</v>
          </cell>
          <cell r="H10">
            <v>65.038702499999999</v>
          </cell>
          <cell r="I10">
            <v>64.662904999999995</v>
          </cell>
        </row>
        <row r="11">
          <cell r="B11">
            <v>5.5880734345846728</v>
          </cell>
          <cell r="C11">
            <v>8.4896503779806167</v>
          </cell>
          <cell r="D11">
            <v>-7.8315206687379346</v>
          </cell>
          <cell r="E11">
            <v>-3.1581975551867258</v>
          </cell>
          <cell r="F11">
            <v>4.5944880288073087</v>
          </cell>
          <cell r="G11">
            <v>-1.6617245911834111</v>
          </cell>
          <cell r="H11">
            <v>-0.29127899222275433</v>
          </cell>
          <cell r="I11">
            <v>-0.57780596099684667</v>
          </cell>
        </row>
        <row r="12">
          <cell r="B12">
            <v>15.447187664125527</v>
          </cell>
          <cell r="C12">
            <v>17.588048957549262</v>
          </cell>
          <cell r="D12">
            <v>17.244972581498821</v>
          </cell>
          <cell r="E12">
            <v>18.63701</v>
          </cell>
          <cell r="F12">
            <v>18.468264999999999</v>
          </cell>
          <cell r="G12">
            <v>19.533245000000001</v>
          </cell>
          <cell r="H12">
            <v>19.982602499999999</v>
          </cell>
          <cell r="I12">
            <v>20.305064999999999</v>
          </cell>
        </row>
        <row r="13">
          <cell r="B13">
            <v>-9.351392647618006</v>
          </cell>
          <cell r="C13">
            <v>13.859230171687887</v>
          </cell>
          <cell r="D13">
            <v>-1.9506221348285613</v>
          </cell>
          <cell r="E13">
            <v>8.072134715914947</v>
          </cell>
          <cell r="F13">
            <v>-0.90542957266214197</v>
          </cell>
          <cell r="G13">
            <v>5.7665406035705136</v>
          </cell>
          <cell r="H13">
            <v>2.3004754202386568</v>
          </cell>
          <cell r="I13">
            <v>1.6137162314068032</v>
          </cell>
        </row>
        <row r="14">
          <cell r="B14">
            <v>9.7968330369509538</v>
          </cell>
          <cell r="C14">
            <v>7.0523098582432127</v>
          </cell>
          <cell r="D14">
            <v>9.1114719858231457</v>
          </cell>
          <cell r="E14">
            <v>9.2478274999999996</v>
          </cell>
          <cell r="F14">
            <v>8.9100894999999998</v>
          </cell>
          <cell r="G14">
            <v>9.1174272500000004</v>
          </cell>
          <cell r="H14">
            <v>9.2113637500000003</v>
          </cell>
          <cell r="I14">
            <v>9.3129314999999995</v>
          </cell>
        </row>
        <row r="15">
          <cell r="B15">
            <v>38.923131316418335</v>
          </cell>
          <cell r="C15">
            <v>-28.014391674903059</v>
          </cell>
          <cell r="D15">
            <v>29.19840689037574</v>
          </cell>
          <cell r="E15">
            <v>1.496525637010282</v>
          </cell>
          <cell r="F15">
            <v>-3.6520793667485729</v>
          </cell>
          <cell r="G15">
            <v>2.3269996333931342</v>
          </cell>
          <cell r="H15">
            <v>1.0302961287681267</v>
          </cell>
          <cell r="I15">
            <v>1.1026353182502335</v>
          </cell>
        </row>
        <row r="16">
          <cell r="B16">
            <v>46.458758890954833</v>
          </cell>
          <cell r="C16">
            <v>47.046960418561163</v>
          </cell>
          <cell r="D16">
            <v>45.569999175860609</v>
          </cell>
          <cell r="E16">
            <v>48.186862499999997</v>
          </cell>
          <cell r="F16">
            <v>47.709962500000003</v>
          </cell>
          <cell r="G16">
            <v>48.556892500000004</v>
          </cell>
          <cell r="H16">
            <v>48.967395000000003</v>
          </cell>
          <cell r="I16">
            <v>49.340299999999999</v>
          </cell>
        </row>
        <row r="17">
          <cell r="B17">
            <v>7.1465880293159145</v>
          </cell>
          <cell r="C17">
            <v>1.2660724084061714</v>
          </cell>
          <cell r="D17">
            <v>-3.1393340389273217</v>
          </cell>
          <cell r="E17">
            <v>5.7425134331044569</v>
          </cell>
          <cell r="F17">
            <v>-0.98968883894441362</v>
          </cell>
          <cell r="G17">
            <v>1.7751638350166354</v>
          </cell>
          <cell r="H17">
            <v>0.84540521204070629</v>
          </cell>
          <cell r="I17">
            <v>0.76153734541115625</v>
          </cell>
        </row>
        <row r="18">
          <cell r="B18">
            <v>36.408858339297126</v>
          </cell>
          <cell r="C18">
            <v>39.334923870425051</v>
          </cell>
          <cell r="D18">
            <v>37.633625744292274</v>
          </cell>
          <cell r="E18">
            <v>39.516649999999998</v>
          </cell>
          <cell r="F18">
            <v>39.017317500000004</v>
          </cell>
          <cell r="G18">
            <v>40.870010000000001</v>
          </cell>
          <cell r="H18">
            <v>41.598669999999998</v>
          </cell>
          <cell r="I18">
            <v>42.329574999999998</v>
          </cell>
        </row>
        <row r="19">
          <cell r="B19">
            <v>49.441428074341573</v>
          </cell>
          <cell r="C19">
            <v>8.0366857533946234</v>
          </cell>
          <cell r="D19">
            <v>-4.3251593208546657</v>
          </cell>
          <cell r="E19">
            <v>5.0035685333702284</v>
          </cell>
          <cell r="F19">
            <v>-1.2636002798820045</v>
          </cell>
          <cell r="G19">
            <v>4.7483851241182817</v>
          </cell>
          <cell r="H19">
            <v>1.7828720864027092</v>
          </cell>
          <cell r="I19">
            <v>1.7570393476522117</v>
          </cell>
        </row>
        <row r="20">
          <cell r="B20">
            <v>31.063835838454178</v>
          </cell>
          <cell r="C20">
            <v>36.15329456379591</v>
          </cell>
          <cell r="D20">
            <v>33.321068758072329</v>
          </cell>
          <cell r="E20">
            <v>35.202617500000002</v>
          </cell>
          <cell r="F20">
            <v>34.503569999999996</v>
          </cell>
          <cell r="G20">
            <v>34.850254999999997</v>
          </cell>
          <cell r="H20">
            <v>34.848840000000003</v>
          </cell>
          <cell r="I20">
            <v>34.802424999999999</v>
          </cell>
        </row>
        <row r="21">
          <cell r="B21">
            <v>1.1060280825104574</v>
          </cell>
          <cell r="C21">
            <v>16.383870787269128</v>
          </cell>
          <cell r="D21">
            <v>-7.8339355787502285</v>
          </cell>
          <cell r="E21">
            <v>5.6467238658779451</v>
          </cell>
          <cell r="F21">
            <v>-1.9857827333436329</v>
          </cell>
          <cell r="G21">
            <v>1.004780085075252</v>
          </cell>
          <cell r="H21">
            <v>-4.0602285406365901E-3</v>
          </cell>
          <cell r="I21">
            <v>-0.13318951219036812</v>
          </cell>
        </row>
        <row r="22">
          <cell r="B22">
            <v>63.589637756238098</v>
          </cell>
          <cell r="C22">
            <v>55.49634789314856</v>
          </cell>
          <cell r="D22">
            <v>57.342081387519684</v>
          </cell>
          <cell r="E22">
            <v>58.7716475</v>
          </cell>
          <cell r="F22">
            <v>60.854150000000004</v>
          </cell>
          <cell r="G22">
            <v>62.196255000000001</v>
          </cell>
          <cell r="H22">
            <v>64.102337500000004</v>
          </cell>
          <cell r="I22">
            <v>65.917574999999999</v>
          </cell>
        </row>
        <row r="23">
          <cell r="B23">
            <v>15.458048503319866</v>
          </cell>
          <cell r="C23">
            <v>-12.727372176759399</v>
          </cell>
          <cell r="D23">
            <v>3.3258647901026839</v>
          </cell>
          <cell r="E23">
            <v>2.4930488707224585</v>
          </cell>
          <cell r="F23">
            <v>3.5433794841296606</v>
          </cell>
          <cell r="G23">
            <v>2.2054453147402286</v>
          </cell>
          <cell r="H23">
            <v>3.0646258363948187</v>
          </cell>
          <cell r="I23">
            <v>2.8317805103440952</v>
          </cell>
        </row>
        <row r="24">
          <cell r="B24">
            <v>6.9936841055282279</v>
          </cell>
          <cell r="C24">
            <v>10.265147320644484</v>
          </cell>
          <cell r="D24">
            <v>9.1870885923986201</v>
          </cell>
          <cell r="E24">
            <v>9.6252117500000001</v>
          </cell>
          <cell r="F24">
            <v>10.895855000000001</v>
          </cell>
          <cell r="G24">
            <v>10.933887500000001</v>
          </cell>
          <cell r="H24">
            <v>11.27783</v>
          </cell>
          <cell r="I24">
            <v>11.6411675</v>
          </cell>
        </row>
        <row r="25">
          <cell r="B25">
            <v>33.762805155430506</v>
          </cell>
          <cell r="C25">
            <v>46.777394657134927</v>
          </cell>
          <cell r="D25">
            <v>-10.502126219637919</v>
          </cell>
          <cell r="E25">
            <v>4.768900976571433</v>
          </cell>
          <cell r="F25">
            <v>13.201197885334848</v>
          </cell>
          <cell r="G25">
            <v>0.3490547552257306</v>
          </cell>
          <cell r="H25">
            <v>3.1456561081317114</v>
          </cell>
          <cell r="I25">
            <v>3.2216969044576826</v>
          </cell>
        </row>
        <row r="26">
          <cell r="B26">
            <v>22.78594546291237</v>
          </cell>
          <cell r="C26">
            <v>22.70849329842234</v>
          </cell>
          <cell r="D26">
            <v>17.119499427030508</v>
          </cell>
          <cell r="E26">
            <v>22.067799999999998</v>
          </cell>
          <cell r="F26">
            <v>20.903367500000002</v>
          </cell>
          <cell r="G26">
            <v>22.752800000000001</v>
          </cell>
          <cell r="H26">
            <v>23.307449999999999</v>
          </cell>
          <cell r="I26">
            <v>23.893070000000002</v>
          </cell>
        </row>
        <row r="27">
          <cell r="B27">
            <v>35.720513317427447</v>
          </cell>
          <cell r="C27">
            <v>-0.33991200679425182</v>
          </cell>
          <cell r="D27">
            <v>-24.611909728859573</v>
          </cell>
          <cell r="E27">
            <v>28.904469982086422</v>
          </cell>
          <cell r="F27">
            <v>-5.2766134367721147</v>
          </cell>
          <cell r="G27">
            <v>8.8475337765553839</v>
          </cell>
          <cell r="H27">
            <v>2.4377219507049519</v>
          </cell>
          <cell r="I27">
            <v>2.5125871770614205</v>
          </cell>
        </row>
        <row r="28">
          <cell r="B28">
            <v>14.791293213447704</v>
          </cell>
          <cell r="C28">
            <v>12.248528209581913</v>
          </cell>
          <cell r="D28">
            <v>16.118275609918864</v>
          </cell>
          <cell r="E28">
            <v>16.242962500000001</v>
          </cell>
          <cell r="F28">
            <v>15.689662500000001</v>
          </cell>
          <cell r="G28">
            <v>16.125362500000001</v>
          </cell>
          <cell r="H28">
            <v>16.307807499999999</v>
          </cell>
          <cell r="I28">
            <v>16.536455</v>
          </cell>
        </row>
        <row r="29">
          <cell r="B29">
            <v>5.7391605614995012</v>
          </cell>
          <cell r="C29">
            <v>-17.1909579992235</v>
          </cell>
          <cell r="D29">
            <v>31.593570542701464</v>
          </cell>
          <cell r="E29">
            <v>0.77357462484639594</v>
          </cell>
          <cell r="F29">
            <v>-3.4063983094216987</v>
          </cell>
          <cell r="G29">
            <v>2.776987714044199</v>
          </cell>
          <cell r="H29">
            <v>1.1314164255222137</v>
          </cell>
          <cell r="I29">
            <v>1.4020738226153462</v>
          </cell>
        </row>
        <row r="30">
          <cell r="B30">
            <v>17.79192710596714</v>
          </cell>
          <cell r="C30">
            <v>17.353439284794341</v>
          </cell>
          <cell r="D30">
            <v>16.905740499198071</v>
          </cell>
          <cell r="E30">
            <v>18.919207499999999</v>
          </cell>
          <cell r="F30">
            <v>17.679435000000002</v>
          </cell>
          <cell r="G30">
            <v>18.2510075</v>
          </cell>
          <cell r="H30">
            <v>18.247742500000001</v>
          </cell>
          <cell r="I30">
            <v>18.231565</v>
          </cell>
        </row>
        <row r="31">
          <cell r="B31">
            <v>-10.004187770855665</v>
          </cell>
          <cell r="C31">
            <v>-2.4645324734145158</v>
          </cell>
          <cell r="D31">
            <v>-2.5798850490032721</v>
          </cell>
          <cell r="E31">
            <v>11.909960411952603</v>
          </cell>
          <cell r="F31">
            <v>-6.5529832578875009</v>
          </cell>
          <cell r="G31">
            <v>3.232979447589801</v>
          </cell>
          <cell r="H31">
            <v>-1.7889423364703116E-2</v>
          </cell>
          <cell r="I31">
            <v>-8.8654802094023655E-2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F7493-B449-4F65-8E6D-CD7B9D2468A0}">
  <dimension ref="A1:I9"/>
  <sheetViews>
    <sheetView workbookViewId="0">
      <selection activeCell="A8" sqref="A8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9" ht="18.5" x14ac:dyDescent="0.45">
      <c r="A1" s="6" t="s">
        <v>17</v>
      </c>
    </row>
    <row r="2" spans="1:9" s="1" customFormat="1" x14ac:dyDescent="0.35"/>
    <row r="3" spans="1:9" x14ac:dyDescent="0.35">
      <c r="A3" s="1" t="s">
        <v>18</v>
      </c>
    </row>
    <row r="4" spans="1:9" x14ac:dyDescent="0.35">
      <c r="A4" s="1" t="s">
        <v>104</v>
      </c>
    </row>
    <row r="5" spans="1:9" x14ac:dyDescent="0.35">
      <c r="B5" s="42" t="str">
        <f>_xlfn.CONCAT('Economic Indicators'!D4," ranking")</f>
        <v>2023 ranking</v>
      </c>
      <c r="C5" s="42" t="str">
        <f>_xlfn.CONCAT('Economic Indicators'!E4," ranking")</f>
        <v>2024 ranking</v>
      </c>
      <c r="D5" s="1" t="str">
        <f>_xlfn.CONCAT([1]TAB1_CAN!I1,"–",RIGHT([1]TAB1_CAN!L1,2)," ranking")</f>
        <v>2025–28 ranking</v>
      </c>
      <c r="E5" s="1" t="str">
        <f>_xlfn.CONCAT([1]TAB1_CAN!C1,"–",RIGHT([1]TAB1_CAN!L1,2)," ranking")</f>
        <v>2019–28 ranking</v>
      </c>
    </row>
    <row r="6" spans="1:9" x14ac:dyDescent="0.35">
      <c r="A6" s="2"/>
      <c r="B6" s="2">
        <f>'Economic Indicators'!D6</f>
        <v>0.20452946881879264</v>
      </c>
      <c r="C6" s="15">
        <f>'Economic Indicators'!E6</f>
        <v>0.31663546173790191</v>
      </c>
      <c r="D6" s="15">
        <f>100*((+[2]tab1_ha!L2/+[2]tab1_ha!H2)^(1/4)-1)</f>
        <v>2.5171727159492452</v>
      </c>
      <c r="E6" s="15">
        <f>100*(([2]tab1_ha!$L$2/[2]tab1_ha!$B$2)^(1/10)-1)</f>
        <v>1.2544002027449208</v>
      </c>
      <c r="G6" s="2">
        <f t="shared" ref="G6" si="0">B6</f>
        <v>0.20452946881879264</v>
      </c>
      <c r="H6" s="2" t="str">
        <f>_xlfn.CONCAT('Economic Indicators'!D4)</f>
        <v>2023</v>
      </c>
      <c r="I6" s="2" t="str">
        <f>_xlfn.CONCAT('Economic Indicators'!D4,"e")</f>
        <v>2023e</v>
      </c>
    </row>
    <row r="7" spans="1:9" x14ac:dyDescent="0.35">
      <c r="A7" t="str">
        <f>CONCATENATE("(Out of"," ", [3]DATA!$B$60," ", "CMAs)")</f>
        <v>(Out of 13 CMAs)</v>
      </c>
      <c r="B7" s="23" t="str">
        <f>[4]ranking!$B$76</f>
        <v>#12</v>
      </c>
      <c r="C7" s="23" t="str">
        <f>[4]ranking!$D$76</f>
        <v>#13</v>
      </c>
      <c r="D7" s="23" t="str">
        <f>[4]ranking!$F$76</f>
        <v>#6</v>
      </c>
      <c r="E7" s="23" t="str">
        <f>[4]ranking!$H$76</f>
        <v>#12</v>
      </c>
      <c r="G7" s="2">
        <f>C6</f>
        <v>0.31663546173790191</v>
      </c>
      <c r="H7" s="2" t="str">
        <f>_xlfn.CONCAT('Economic Indicators'!E4,"f")</f>
        <v>2024f</v>
      </c>
    </row>
    <row r="8" spans="1:9" x14ac:dyDescent="0.35">
      <c r="B8" s="23"/>
      <c r="C8" s="23"/>
      <c r="D8" s="23"/>
      <c r="E8" s="23"/>
      <c r="G8" s="2">
        <f>D6</f>
        <v>2.5171727159492452</v>
      </c>
      <c r="H8" t="str">
        <f>_xlfn.CONCAT([1]TAB1_CAN!I1,"–",RIGHT([1]TAB1_CAN!L1,2),"f")</f>
        <v>2025–28f</v>
      </c>
    </row>
    <row r="9" spans="1:9" x14ac:dyDescent="0.35">
      <c r="A9" t="s">
        <v>105</v>
      </c>
      <c r="B9" s="23"/>
      <c r="C9" s="23"/>
      <c r="D9" s="23"/>
      <c r="E9" s="23"/>
      <c r="G9" s="2">
        <f>E6</f>
        <v>1.2544002027449208</v>
      </c>
      <c r="H9" t="str">
        <f>_xlfn.CONCAT([1]TAB1_CAN!C1,"–",RIGHT([1]TAB1_CAN!L1,2),"f")</f>
        <v>2019–28f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A9179-DE05-4C06-BDB7-A912F0E1F9F4}">
  <dimension ref="A1:T35"/>
  <sheetViews>
    <sheetView topLeftCell="A4" workbookViewId="0">
      <selection activeCell="I19" sqref="I19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  <col min="12" max="12" width="12.54296875" bestFit="1" customWidth="1"/>
    <col min="13" max="14" width="11.08984375" bestFit="1" customWidth="1"/>
    <col min="15" max="20" width="12.54296875" bestFit="1" customWidth="1"/>
  </cols>
  <sheetData>
    <row r="1" spans="1:20" ht="18.5" x14ac:dyDescent="0.45">
      <c r="A1" s="6" t="s">
        <v>17</v>
      </c>
    </row>
    <row r="2" spans="1:20" s="1" customFormat="1" x14ac:dyDescent="0.35"/>
    <row r="4" spans="1:20" x14ac:dyDescent="0.35">
      <c r="A4" s="7" t="s">
        <v>42</v>
      </c>
    </row>
    <row r="5" spans="1:20" x14ac:dyDescent="0.35">
      <c r="A5" s="1" t="s">
        <v>43</v>
      </c>
    </row>
    <row r="7" spans="1:20" s="1" customFormat="1" x14ac:dyDescent="0.35">
      <c r="A7" s="1" t="s">
        <v>44</v>
      </c>
      <c r="B7" s="1" t="str">
        <f>+[12]TAB16_ha!B1</f>
        <v>2015</v>
      </c>
      <c r="C7" s="1" t="str">
        <f>+[12]TAB16_ha!C1</f>
        <v>2016</v>
      </c>
      <c r="D7" s="1" t="str">
        <f>+[12]TAB16_ha!D1</f>
        <v>2017</v>
      </c>
      <c r="E7" s="1" t="str">
        <f>+[12]TAB16_ha!E1</f>
        <v>2018</v>
      </c>
      <c r="F7" s="1" t="str">
        <f>+[12]TAB16_ha!F1</f>
        <v>2019</v>
      </c>
      <c r="G7" s="1" t="str">
        <f>+[12]TAB16_ha!G1</f>
        <v>2020</v>
      </c>
      <c r="H7" s="1" t="str">
        <f>+[12]TAB16_ha!H1</f>
        <v>2021</v>
      </c>
      <c r="I7" s="1" t="str">
        <f>+[12]TAB16_ha!I1</f>
        <v>2022</v>
      </c>
      <c r="J7" s="1" t="str">
        <f>+[12]TAB16_ha!J1</f>
        <v>2023</v>
      </c>
    </row>
    <row r="8" spans="1:20" x14ac:dyDescent="0.35">
      <c r="A8" t="s">
        <v>12</v>
      </c>
      <c r="B8" s="22">
        <f>+[12]TAB16_ha!B2</f>
        <v>1657274</v>
      </c>
      <c r="C8" s="22">
        <f>+[12]TAB16_ha!C2</f>
        <v>1566787</v>
      </c>
      <c r="D8" s="22">
        <f>+[12]TAB16_ha!D2</f>
        <v>1997690</v>
      </c>
      <c r="E8" s="22">
        <f>+[12]TAB16_ha!E2</f>
        <v>1726366</v>
      </c>
      <c r="F8" s="22">
        <f>+[12]TAB16_ha!F2</f>
        <v>1830736</v>
      </c>
      <c r="G8" s="22">
        <f>+[12]TAB16_ha!G2</f>
        <v>1757727</v>
      </c>
      <c r="H8" s="22">
        <f>+[12]TAB16_ha!H2</f>
        <v>2535900</v>
      </c>
      <c r="I8" s="22">
        <f>+[12]TAB16_ha!I2</f>
        <v>2426358</v>
      </c>
      <c r="J8" s="22">
        <f>+[12]TAB16_ha!J2</f>
        <v>3296274</v>
      </c>
    </row>
    <row r="9" spans="1:20" x14ac:dyDescent="0.35">
      <c r="A9" s="18" t="s">
        <v>49</v>
      </c>
      <c r="B9" s="22">
        <f>+[12]TAB16_ha!B3</f>
        <v>1006733</v>
      </c>
      <c r="C9" s="22">
        <f>+[12]TAB16_ha!C3</f>
        <v>1086146</v>
      </c>
      <c r="D9" s="22">
        <f>+[12]TAB16_ha!D3</f>
        <v>1212553</v>
      </c>
      <c r="E9" s="22">
        <f>+[12]TAB16_ha!E3</f>
        <v>1143283</v>
      </c>
      <c r="F9" s="22">
        <f>+[12]TAB16_ha!F3</f>
        <v>1088182</v>
      </c>
      <c r="G9" s="22">
        <f>+[12]TAB16_ha!G3</f>
        <v>1095514</v>
      </c>
      <c r="H9" s="22">
        <f>+[12]TAB16_ha!H3</f>
        <v>1540298</v>
      </c>
      <c r="I9" s="22">
        <f>+[12]TAB16_ha!I3</f>
        <v>1367119</v>
      </c>
      <c r="J9" s="22">
        <f>+[12]TAB16_ha!J3</f>
        <v>2055921</v>
      </c>
      <c r="L9" s="49"/>
      <c r="M9" s="49"/>
      <c r="N9" s="49"/>
      <c r="O9" s="49"/>
      <c r="P9" s="49"/>
      <c r="Q9" s="49"/>
      <c r="R9" s="49"/>
      <c r="S9" s="49"/>
      <c r="T9" s="49"/>
    </row>
    <row r="10" spans="1:20" x14ac:dyDescent="0.35">
      <c r="A10" s="18" t="s">
        <v>50</v>
      </c>
      <c r="B10" s="22">
        <f>+[12]TAB16_ha!B4</f>
        <v>650541</v>
      </c>
      <c r="C10" s="22">
        <f>+[12]TAB16_ha!C4</f>
        <v>480641</v>
      </c>
      <c r="D10" s="22">
        <f>+[12]TAB16_ha!D4</f>
        <v>785137</v>
      </c>
      <c r="E10" s="22">
        <f>+[12]TAB16_ha!E4</f>
        <v>583083</v>
      </c>
      <c r="F10" s="22">
        <f>+[12]TAB16_ha!F4</f>
        <v>742554</v>
      </c>
      <c r="G10" s="22">
        <f>+[12]TAB16_ha!G4</f>
        <v>662213</v>
      </c>
      <c r="H10" s="22">
        <f>+[12]TAB16_ha!H4</f>
        <v>995602</v>
      </c>
      <c r="I10" s="22">
        <f>+[12]TAB16_ha!I4</f>
        <v>1059239</v>
      </c>
      <c r="J10" s="22">
        <f>+[12]TAB16_ha!J4</f>
        <v>1240353</v>
      </c>
      <c r="L10" s="49"/>
      <c r="M10" s="49"/>
      <c r="N10" s="49"/>
      <c r="O10" s="49"/>
      <c r="P10" s="49"/>
      <c r="Q10" s="49"/>
      <c r="R10" s="49"/>
      <c r="S10" s="49"/>
      <c r="T10" s="49"/>
    </row>
    <row r="11" spans="1:20" x14ac:dyDescent="0.35">
      <c r="A11" s="21" t="s">
        <v>13</v>
      </c>
      <c r="B11" s="22">
        <f>+[12]TAB16_ha!B5</f>
        <v>87095</v>
      </c>
      <c r="C11" s="22">
        <f>+[12]TAB16_ha!C5</f>
        <v>37097</v>
      </c>
      <c r="D11" s="22">
        <f>+[12]TAB16_ha!D5</f>
        <v>141030</v>
      </c>
      <c r="E11" s="22">
        <f>+[12]TAB16_ha!E5</f>
        <v>89879</v>
      </c>
      <c r="F11" s="22">
        <f>+[12]TAB16_ha!F5</f>
        <v>197571</v>
      </c>
      <c r="G11" s="22">
        <f>+[12]TAB16_ha!G5</f>
        <v>205556</v>
      </c>
      <c r="H11" s="22">
        <f>+[12]TAB16_ha!H5</f>
        <v>90534</v>
      </c>
      <c r="I11" s="22">
        <f>+[12]TAB16_ha!I5</f>
        <v>95496</v>
      </c>
      <c r="J11" s="22">
        <f>+[12]TAB16_ha!J5</f>
        <v>424411</v>
      </c>
      <c r="L11" s="49"/>
      <c r="M11" s="49"/>
      <c r="N11" s="49"/>
      <c r="O11" s="49"/>
      <c r="P11" s="49"/>
      <c r="Q11" s="49"/>
      <c r="R11" s="49"/>
      <c r="S11" s="49"/>
      <c r="T11" s="49"/>
    </row>
    <row r="12" spans="1:20" x14ac:dyDescent="0.35">
      <c r="A12" s="21" t="s">
        <v>51</v>
      </c>
      <c r="B12" s="22">
        <f>+[12]TAB16_ha!B6</f>
        <v>204498</v>
      </c>
      <c r="C12" s="22">
        <f>+[12]TAB16_ha!C6</f>
        <v>289731</v>
      </c>
      <c r="D12" s="22">
        <f>+[12]TAB16_ha!D6</f>
        <v>258903</v>
      </c>
      <c r="E12" s="22">
        <f>+[12]TAB16_ha!E6</f>
        <v>271484</v>
      </c>
      <c r="F12" s="22">
        <f>+[12]TAB16_ha!F6</f>
        <v>301281</v>
      </c>
      <c r="G12" s="22">
        <f>+[12]TAB16_ha!G6</f>
        <v>386287</v>
      </c>
      <c r="H12" s="22">
        <f>+[12]TAB16_ha!H6</f>
        <v>789535</v>
      </c>
      <c r="I12" s="22">
        <f>+[12]TAB16_ha!I6</f>
        <v>599719</v>
      </c>
      <c r="J12" s="22">
        <f>+[12]TAB16_ha!J6</f>
        <v>541698</v>
      </c>
      <c r="L12" s="49"/>
      <c r="M12" s="49"/>
      <c r="N12" s="49"/>
      <c r="O12" s="49"/>
      <c r="P12" s="49"/>
      <c r="Q12" s="49"/>
      <c r="R12" s="49"/>
      <c r="S12" s="49"/>
      <c r="T12" s="49"/>
    </row>
    <row r="13" spans="1:20" x14ac:dyDescent="0.35">
      <c r="A13" s="21" t="s">
        <v>69</v>
      </c>
      <c r="B13" s="22">
        <f>+[12]TAB16_ha!B7</f>
        <v>358948</v>
      </c>
      <c r="C13" s="22">
        <f>+[12]TAB16_ha!C7</f>
        <v>153813</v>
      </c>
      <c r="D13" s="22">
        <f>+[12]TAB16_ha!D7</f>
        <v>385204</v>
      </c>
      <c r="E13" s="22">
        <f>+[12]TAB16_ha!E7</f>
        <v>221720</v>
      </c>
      <c r="F13" s="22">
        <f>+[12]TAB16_ha!F7</f>
        <v>243702</v>
      </c>
      <c r="G13" s="22">
        <f>+[12]TAB16_ha!G7</f>
        <v>70370</v>
      </c>
      <c r="H13" s="22">
        <f>+[12]TAB16_ha!H7</f>
        <v>115533</v>
      </c>
      <c r="I13" s="22">
        <f>+[12]TAB16_ha!I7</f>
        <v>364024</v>
      </c>
      <c r="J13" s="22">
        <f>+[12]TAB16_ha!J7</f>
        <v>274244</v>
      </c>
      <c r="L13" s="49"/>
      <c r="M13" s="49"/>
      <c r="N13" s="49"/>
      <c r="O13" s="49"/>
      <c r="P13" s="49"/>
      <c r="Q13" s="49"/>
      <c r="R13" s="49"/>
      <c r="S13" s="49"/>
      <c r="T13" s="49"/>
    </row>
    <row r="14" spans="1:20" s="1" customFormat="1" x14ac:dyDescent="0.35">
      <c r="A14" s="1" t="s">
        <v>45</v>
      </c>
    </row>
    <row r="15" spans="1:20" x14ac:dyDescent="0.35">
      <c r="A15" t="s">
        <v>46</v>
      </c>
      <c r="B15" s="22" t="str">
        <f>'[13]office sector'!C93</f>
        <v>n/a</v>
      </c>
      <c r="C15" s="22" t="str">
        <f>'[13]office sector'!D93</f>
        <v>n/a</v>
      </c>
      <c r="D15" s="22" t="str">
        <f>'[13]office sector'!E93</f>
        <v>n/a</v>
      </c>
      <c r="E15" s="22" t="str">
        <f>'[13]office sector'!F93</f>
        <v>n/a</v>
      </c>
      <c r="F15" s="22" t="str">
        <f>'[13]office sector'!G93</f>
        <v>n/a</v>
      </c>
      <c r="G15" s="22" t="str">
        <f>'[13]office sector'!H93</f>
        <v>n/a</v>
      </c>
      <c r="H15" s="22" t="str">
        <f>'[13]office sector'!I93</f>
        <v>n/a</v>
      </c>
      <c r="I15" s="22" t="str">
        <f>'[13]office sector'!J93</f>
        <v>n/a</v>
      </c>
      <c r="J15" s="22" t="str">
        <f>'[13]office sector'!K93</f>
        <v>n/a</v>
      </c>
      <c r="L15" s="23"/>
      <c r="M15" s="23"/>
      <c r="N15" s="23"/>
      <c r="O15" s="23"/>
      <c r="P15" s="23"/>
      <c r="Q15" s="23"/>
      <c r="R15" s="23"/>
      <c r="S15" s="23"/>
      <c r="T15" s="23"/>
    </row>
    <row r="16" spans="1:20" x14ac:dyDescent="0.35">
      <c r="A16" t="s">
        <v>55</v>
      </c>
      <c r="B16" s="22" t="str">
        <f>'[13]office sector'!C94</f>
        <v>n/a</v>
      </c>
      <c r="C16" s="22" t="str">
        <f>'[13]office sector'!D94</f>
        <v>n/a</v>
      </c>
      <c r="D16" s="22" t="str">
        <f>'[13]office sector'!E94</f>
        <v>n/a</v>
      </c>
      <c r="E16" s="22" t="str">
        <f>'[13]office sector'!F94</f>
        <v>n/a</v>
      </c>
      <c r="F16" s="22" t="str">
        <f>'[13]office sector'!G94</f>
        <v>n/a</v>
      </c>
      <c r="G16" s="22" t="str">
        <f>'[13]office sector'!H94</f>
        <v>n/a</v>
      </c>
      <c r="H16" s="22" t="str">
        <f>'[13]office sector'!I94</f>
        <v>n/a</v>
      </c>
      <c r="I16" s="22" t="str">
        <f>'[13]office sector'!J94</f>
        <v>n/a</v>
      </c>
      <c r="J16" s="22" t="str">
        <f>'[13]office sector'!K94</f>
        <v>n/a</v>
      </c>
      <c r="L16" s="23"/>
      <c r="M16" s="23"/>
      <c r="N16" s="23"/>
      <c r="O16" s="23"/>
      <c r="P16" s="23"/>
      <c r="Q16" s="23"/>
      <c r="R16" s="23"/>
      <c r="S16" s="23"/>
      <c r="T16" s="23"/>
    </row>
    <row r="17" spans="1:20" x14ac:dyDescent="0.35">
      <c r="A17" t="s">
        <v>47</v>
      </c>
      <c r="B17" s="22" t="str">
        <f>'[13]office sector'!C95</f>
        <v>n/a</v>
      </c>
      <c r="C17" s="22" t="str">
        <f>'[13]office sector'!D95</f>
        <v>n/a</v>
      </c>
      <c r="D17" s="22" t="str">
        <f>'[13]office sector'!E95</f>
        <v>n/a</v>
      </c>
      <c r="E17" s="22" t="str">
        <f>'[13]office sector'!F95</f>
        <v>n/a</v>
      </c>
      <c r="F17" s="22" t="str">
        <f>'[13]office sector'!G95</f>
        <v>n/a</v>
      </c>
      <c r="G17" s="22" t="str">
        <f>'[13]office sector'!H95</f>
        <v>n/a</v>
      </c>
      <c r="H17" s="22" t="str">
        <f>'[13]office sector'!I95</f>
        <v>n/a</v>
      </c>
      <c r="I17" s="22" t="str">
        <f>'[13]office sector'!J95</f>
        <v>n/a</v>
      </c>
      <c r="J17" s="22" t="str">
        <f>'[13]office sector'!K95</f>
        <v>n/a</v>
      </c>
      <c r="L17" s="23"/>
      <c r="M17" s="23"/>
      <c r="N17" s="23"/>
      <c r="O17" s="23"/>
      <c r="P17" s="23"/>
      <c r="Q17" s="23"/>
      <c r="R17" s="23"/>
      <c r="S17" s="23"/>
      <c r="T17" s="23"/>
    </row>
    <row r="18" spans="1:20" x14ac:dyDescent="0.35">
      <c r="A18" t="s">
        <v>48</v>
      </c>
      <c r="B18" s="22">
        <f>+[14]TAB13_ha!B2</f>
        <v>96.543165811263464</v>
      </c>
      <c r="C18" s="22">
        <f>+[14]TAB13_ha!C2</f>
        <v>91.451058556402643</v>
      </c>
      <c r="D18" s="22">
        <f>+[14]TAB13_ha!D2</f>
        <v>98.926375985632646</v>
      </c>
      <c r="E18" s="22">
        <f>+[14]TAB13_ha!E2</f>
        <v>105.33013020073214</v>
      </c>
      <c r="F18" s="22">
        <f>+[14]TAB13_ha!F2</f>
        <v>100.21289112875355</v>
      </c>
      <c r="G18" s="22">
        <f>+[14]TAB13_ha!G2</f>
        <v>94.545003965240994</v>
      </c>
      <c r="H18" s="22">
        <f>+[14]TAB13_ha!H2</f>
        <v>110.45637737317006</v>
      </c>
      <c r="I18" s="22">
        <f>+[14]TAB13_ha!I2</f>
        <v>110.78763343202377</v>
      </c>
      <c r="J18" s="22">
        <f>+[14]TAB13_ha!J2</f>
        <v>109.22083740517409</v>
      </c>
      <c r="L18" s="8"/>
      <c r="M18" s="8"/>
      <c r="N18" s="8"/>
      <c r="O18" s="8"/>
      <c r="P18" s="8"/>
      <c r="Q18" s="8"/>
      <c r="R18" s="8"/>
      <c r="S18" s="8"/>
      <c r="T18" s="8"/>
    </row>
    <row r="19" spans="1:20" x14ac:dyDescent="0.35">
      <c r="A19" t="s">
        <v>55</v>
      </c>
      <c r="B19" s="24">
        <f>+[14]TAB13_ha!B3</f>
        <v>3.2818382586981887</v>
      </c>
      <c r="C19" s="24">
        <f>+[14]TAB13_ha!C3</f>
        <v>-5.274435753241824</v>
      </c>
      <c r="D19" s="24">
        <f>+[14]TAB13_ha!D3</f>
        <v>8.1741179897000258</v>
      </c>
      <c r="E19" s="24">
        <f>+[14]TAB13_ha!E3</f>
        <v>6.4732526096271226</v>
      </c>
      <c r="F19" s="24">
        <f>+[14]TAB13_ha!F3</f>
        <v>-4.8582860974599074</v>
      </c>
      <c r="G19" s="24">
        <f>+[14]TAB13_ha!G3</f>
        <v>-5.6558463683384357</v>
      </c>
      <c r="H19" s="24">
        <f>+[14]TAB13_ha!H3</f>
        <v>16.829417463220796</v>
      </c>
      <c r="I19" s="24">
        <f>+[14]TAB13_ha!I3</f>
        <v>0.29989763083988485</v>
      </c>
      <c r="J19" s="24">
        <f>+[14]TAB13_ha!J3</f>
        <v>-1.414233681425292</v>
      </c>
      <c r="L19" s="2"/>
      <c r="M19" s="2"/>
      <c r="N19" s="2"/>
      <c r="O19" s="2"/>
      <c r="P19" s="2"/>
      <c r="Q19" s="2"/>
      <c r="R19" s="2"/>
      <c r="S19" s="2"/>
      <c r="T19" s="2"/>
    </row>
    <row r="20" spans="1:20" s="1" customFormat="1" x14ac:dyDescent="0.35">
      <c r="A20" s="1" t="s">
        <v>54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20" x14ac:dyDescent="0.35">
      <c r="A21" t="s">
        <v>52</v>
      </c>
      <c r="B21" s="22">
        <f>[15]bankruptcies!B60</f>
        <v>847</v>
      </c>
      <c r="C21" s="22">
        <f>[15]bankruptcies!C60</f>
        <v>841</v>
      </c>
      <c r="D21" s="22">
        <f>[15]bankruptcies!D60</f>
        <v>726</v>
      </c>
      <c r="E21" s="22">
        <f>[15]bankruptcies!E60</f>
        <v>709</v>
      </c>
      <c r="F21" s="22">
        <f>[15]bankruptcies!F60</f>
        <v>700</v>
      </c>
      <c r="G21" s="22">
        <f>[15]bankruptcies!G60</f>
        <v>458</v>
      </c>
      <c r="H21" s="22">
        <f>[15]bankruptcies!H60</f>
        <v>364</v>
      </c>
      <c r="I21" s="22">
        <f>[15]bankruptcies!I60</f>
        <v>376</v>
      </c>
      <c r="J21" s="22">
        <f>[15]bankruptcies!J60</f>
        <v>438</v>
      </c>
      <c r="L21" s="49"/>
      <c r="M21" s="49"/>
      <c r="N21" s="49"/>
      <c r="O21" s="49"/>
      <c r="P21" s="49"/>
      <c r="Q21" s="49"/>
      <c r="R21" s="49"/>
      <c r="S21" s="49"/>
      <c r="T21" s="49"/>
    </row>
    <row r="22" spans="1:20" x14ac:dyDescent="0.35">
      <c r="A22" t="s">
        <v>53</v>
      </c>
      <c r="B22" s="22">
        <f>[15]bankruptcies!B61</f>
        <v>44</v>
      </c>
      <c r="C22" s="22">
        <f>[15]bankruptcies!C61</f>
        <v>37</v>
      </c>
      <c r="D22" s="22">
        <f>[15]bankruptcies!D61</f>
        <v>38</v>
      </c>
      <c r="E22" s="22">
        <f>[15]bankruptcies!E61</f>
        <v>32</v>
      </c>
      <c r="F22" s="22">
        <f>[15]bankruptcies!F61</f>
        <v>45</v>
      </c>
      <c r="G22" s="22">
        <f>[15]bankruptcies!G61</f>
        <v>19</v>
      </c>
      <c r="H22" s="22">
        <f>[15]bankruptcies!H61</f>
        <v>25</v>
      </c>
      <c r="I22" s="22">
        <f>[15]bankruptcies!I61</f>
        <v>42</v>
      </c>
      <c r="J22" s="22">
        <f>[15]bankruptcies!J61</f>
        <v>52</v>
      </c>
      <c r="L22" s="49"/>
      <c r="M22" s="49"/>
      <c r="N22" s="49"/>
      <c r="O22" s="49"/>
      <c r="P22" s="49"/>
      <c r="Q22" s="49"/>
      <c r="R22" s="49"/>
      <c r="S22" s="49"/>
      <c r="T22" s="49"/>
    </row>
    <row r="24" spans="1:20" x14ac:dyDescent="0.35">
      <c r="A24" t="s">
        <v>56</v>
      </c>
    </row>
    <row r="25" spans="1:20" x14ac:dyDescent="0.35">
      <c r="A25" t="s">
        <v>57</v>
      </c>
    </row>
    <row r="27" spans="1:20" x14ac:dyDescent="0.35">
      <c r="B27" s="4">
        <f>+B9</f>
        <v>1006733</v>
      </c>
      <c r="C27" s="4">
        <f>+B10</f>
        <v>650541</v>
      </c>
      <c r="D27" s="4">
        <f>+B11</f>
        <v>87095</v>
      </c>
      <c r="E27" s="4">
        <f>+B12</f>
        <v>204498</v>
      </c>
      <c r="F27" s="4">
        <f>+B13</f>
        <v>358948</v>
      </c>
      <c r="H27">
        <f>+B21</f>
        <v>847</v>
      </c>
      <c r="I27">
        <f>+B22</f>
        <v>44</v>
      </c>
    </row>
    <row r="28" spans="1:20" x14ac:dyDescent="0.35">
      <c r="B28" s="4">
        <f>+C9</f>
        <v>1086146</v>
      </c>
      <c r="C28" s="4">
        <f>+C10</f>
        <v>480641</v>
      </c>
      <c r="D28" s="4">
        <f>+C11</f>
        <v>37097</v>
      </c>
      <c r="E28" s="4">
        <f>+C12</f>
        <v>289731</v>
      </c>
      <c r="F28" s="4">
        <f>+C13</f>
        <v>153813</v>
      </c>
      <c r="H28">
        <f>+C21</f>
        <v>841</v>
      </c>
      <c r="I28">
        <f>+C22</f>
        <v>37</v>
      </c>
    </row>
    <row r="29" spans="1:20" x14ac:dyDescent="0.35">
      <c r="B29" s="4">
        <f>+D9</f>
        <v>1212553</v>
      </c>
      <c r="C29" s="4">
        <f>+D10</f>
        <v>785137</v>
      </c>
      <c r="D29" s="4">
        <f>+D11</f>
        <v>141030</v>
      </c>
      <c r="E29" s="4">
        <f>+D12</f>
        <v>258903</v>
      </c>
      <c r="F29" s="4">
        <f>+D13</f>
        <v>385204</v>
      </c>
      <c r="H29">
        <f>+D21</f>
        <v>726</v>
      </c>
      <c r="I29">
        <f>+D22</f>
        <v>38</v>
      </c>
    </row>
    <row r="30" spans="1:20" x14ac:dyDescent="0.35">
      <c r="B30" s="4">
        <f>+E9</f>
        <v>1143283</v>
      </c>
      <c r="C30" s="4">
        <f>+E10</f>
        <v>583083</v>
      </c>
      <c r="D30" s="4">
        <f>+E11</f>
        <v>89879</v>
      </c>
      <c r="E30" s="4">
        <f>+E12</f>
        <v>271484</v>
      </c>
      <c r="F30" s="4">
        <f>+E13</f>
        <v>221720</v>
      </c>
      <c r="H30">
        <f>+E21</f>
        <v>709</v>
      </c>
      <c r="I30">
        <f>+E22</f>
        <v>32</v>
      </c>
    </row>
    <row r="31" spans="1:20" x14ac:dyDescent="0.35">
      <c r="B31" s="4">
        <f>+F9</f>
        <v>1088182</v>
      </c>
      <c r="C31" s="4">
        <f>+F10</f>
        <v>742554</v>
      </c>
      <c r="D31" s="4">
        <f>+F11</f>
        <v>197571</v>
      </c>
      <c r="E31" s="4">
        <f>+F12</f>
        <v>301281</v>
      </c>
      <c r="F31" s="4">
        <f>+F13</f>
        <v>243702</v>
      </c>
      <c r="H31">
        <f>+F21</f>
        <v>700</v>
      </c>
      <c r="I31">
        <f>+F22</f>
        <v>45</v>
      </c>
    </row>
    <row r="32" spans="1:20" x14ac:dyDescent="0.35">
      <c r="B32" s="4">
        <f>+G9</f>
        <v>1095514</v>
      </c>
      <c r="C32" s="4">
        <f>+G10</f>
        <v>662213</v>
      </c>
      <c r="D32" s="4">
        <f>+G11</f>
        <v>205556</v>
      </c>
      <c r="E32" s="4">
        <f>+G12</f>
        <v>386287</v>
      </c>
      <c r="F32" s="4">
        <f>+G13</f>
        <v>70370</v>
      </c>
      <c r="H32">
        <f>+G21</f>
        <v>458</v>
      </c>
      <c r="I32">
        <f>+G22</f>
        <v>19</v>
      </c>
    </row>
    <row r="33" spans="2:9" x14ac:dyDescent="0.35">
      <c r="B33" s="4">
        <f>+H9</f>
        <v>1540298</v>
      </c>
      <c r="C33" s="4">
        <f>+H10</f>
        <v>995602</v>
      </c>
      <c r="D33" s="4">
        <f>+H11</f>
        <v>90534</v>
      </c>
      <c r="E33" s="4">
        <f>+H12</f>
        <v>789535</v>
      </c>
      <c r="F33" s="4">
        <f>+H13</f>
        <v>115533</v>
      </c>
      <c r="H33">
        <f>+H21</f>
        <v>364</v>
      </c>
      <c r="I33">
        <f>+H22</f>
        <v>25</v>
      </c>
    </row>
    <row r="34" spans="2:9" x14ac:dyDescent="0.35">
      <c r="B34" s="4">
        <f>+I9</f>
        <v>1367119</v>
      </c>
      <c r="C34" s="4">
        <f>+I10</f>
        <v>1059239</v>
      </c>
      <c r="D34" s="4">
        <f>+I11</f>
        <v>95496</v>
      </c>
      <c r="E34" s="4">
        <f>+I12</f>
        <v>599719</v>
      </c>
      <c r="F34" s="4">
        <f>+I13</f>
        <v>364024</v>
      </c>
      <c r="H34">
        <f>+I21</f>
        <v>376</v>
      </c>
      <c r="I34">
        <f>+I22</f>
        <v>42</v>
      </c>
    </row>
    <row r="35" spans="2:9" x14ac:dyDescent="0.35">
      <c r="B35" s="4">
        <f>+J9</f>
        <v>2055921</v>
      </c>
      <c r="C35" s="4">
        <f>+J10</f>
        <v>1240353</v>
      </c>
      <c r="D35" s="4">
        <f>+J11</f>
        <v>424411</v>
      </c>
      <c r="E35" s="4">
        <f>+J12</f>
        <v>541698</v>
      </c>
      <c r="F35" s="4">
        <f>+J13</f>
        <v>274244</v>
      </c>
      <c r="H35">
        <f>+J21</f>
        <v>438</v>
      </c>
      <c r="I35">
        <f>+J22</f>
        <v>52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D60D-BB72-463B-95DA-6B183EFDCBCB}">
  <dimension ref="A1:D21"/>
  <sheetViews>
    <sheetView tabSelected="1" topLeftCell="A6" workbookViewId="0">
      <selection activeCell="A13" sqref="A13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4" ht="18.5" x14ac:dyDescent="0.45">
      <c r="A1" s="6" t="s">
        <v>17</v>
      </c>
    </row>
    <row r="2" spans="1:4" s="1" customFormat="1" x14ac:dyDescent="0.35"/>
    <row r="4" spans="1:4" x14ac:dyDescent="0.35">
      <c r="A4" s="7" t="s">
        <v>58</v>
      </c>
    </row>
    <row r="5" spans="1:4" x14ac:dyDescent="0.35">
      <c r="A5" s="1" t="s">
        <v>59</v>
      </c>
    </row>
    <row r="7" spans="1:4" x14ac:dyDescent="0.35">
      <c r="A7" s="1" t="str">
        <f>'[26]real estate'!A4</f>
        <v>New Housing Market (2023)</v>
      </c>
    </row>
    <row r="8" spans="1:4" x14ac:dyDescent="0.35">
      <c r="A8" t="str">
        <f>'[26]real estate'!A5</f>
        <v xml:space="preserve">Single-Detached Absorptions  </v>
      </c>
      <c r="B8" s="32">
        <f>'[26]real estate'!K5</f>
        <v>654</v>
      </c>
      <c r="D8" s="32"/>
    </row>
    <row r="9" spans="1:4" x14ac:dyDescent="0.35">
      <c r="A9" s="31" t="str">
        <f>'[26]real estate'!A6</f>
        <v>Growth</v>
      </c>
      <c r="B9" s="34">
        <f>'[26]real estate'!K6</f>
        <v>2.3474178403755763E-2</v>
      </c>
      <c r="D9" s="34"/>
    </row>
    <row r="10" spans="1:4" s="1" customFormat="1" x14ac:dyDescent="0.35">
      <c r="A10" t="str">
        <f>'[26]real estate'!A7</f>
        <v xml:space="preserve">Average Price of Absorbed Single-Detached Units </v>
      </c>
      <c r="B10" s="33">
        <f>'[26]real estate'!K7</f>
        <v>949796</v>
      </c>
      <c r="D10" s="33"/>
    </row>
    <row r="11" spans="1:4" x14ac:dyDescent="0.35">
      <c r="A11" s="31" t="str">
        <f>'[26]real estate'!A8</f>
        <v>Growth</v>
      </c>
      <c r="B11" s="34">
        <f>'[26]real estate'!K8</f>
        <v>0.201133101485931</v>
      </c>
      <c r="D11" s="34"/>
    </row>
    <row r="12" spans="1:4" x14ac:dyDescent="0.35">
      <c r="A12" s="1" t="str">
        <f>'[26]real estate'!A9</f>
        <v>Resale Housing Market (2023)</v>
      </c>
      <c r="B12" s="26"/>
      <c r="D12" s="26"/>
    </row>
    <row r="13" spans="1:4" x14ac:dyDescent="0.35">
      <c r="A13" t="str">
        <f>'[26]real estate'!A10</f>
        <v xml:space="preserve">Unit Sales </v>
      </c>
      <c r="B13" s="32">
        <f>'[26]real estate'!K10</f>
        <v>10000</v>
      </c>
      <c r="D13" s="32"/>
    </row>
    <row r="14" spans="1:4" x14ac:dyDescent="0.35">
      <c r="A14" s="31" t="str">
        <f>'[26]real estate'!A11</f>
        <v>Growth</v>
      </c>
      <c r="B14" s="34">
        <f>'[26]real estate'!K11</f>
        <v>-0.10442414472505823</v>
      </c>
      <c r="D14" s="34"/>
    </row>
    <row r="15" spans="1:4" x14ac:dyDescent="0.35">
      <c r="A15" t="str">
        <f>'[26]real estate'!A12</f>
        <v>Average Price</v>
      </c>
      <c r="B15" s="33">
        <f>'[26]real estate'!K12</f>
        <v>872252</v>
      </c>
      <c r="D15" s="33"/>
    </row>
    <row r="16" spans="1:4" x14ac:dyDescent="0.35">
      <c r="A16" s="31" t="str">
        <f>'[26]real estate'!A13</f>
        <v>Growth</v>
      </c>
      <c r="B16" s="34">
        <f>'[26]real estate'!K13</f>
        <v>-9.6638955718062913E-2</v>
      </c>
      <c r="D16" s="34"/>
    </row>
    <row r="17" spans="1:4" x14ac:dyDescent="0.35">
      <c r="A17" s="1" t="str">
        <f>'[26]real estate'!A14</f>
        <v>Apartment Market (October 2023) (1)</v>
      </c>
      <c r="B17" s="25"/>
      <c r="D17" s="25"/>
    </row>
    <row r="18" spans="1:4" x14ac:dyDescent="0.35">
      <c r="A18" t="str">
        <f>'[26]real estate'!A15</f>
        <v>Two Bedroom Vacancy Rate</v>
      </c>
      <c r="B18" s="35">
        <f>'[26]real estate'!K15</f>
        <v>2.1000000000000001E-2</v>
      </c>
      <c r="D18" s="35"/>
    </row>
    <row r="19" spans="1:4" x14ac:dyDescent="0.35">
      <c r="A19" t="str">
        <f>'[26]real estate'!A16</f>
        <v>Average Two Bedroom Rent</v>
      </c>
      <c r="B19" s="36">
        <f>'[26]real estate'!K16</f>
        <v>1622</v>
      </c>
      <c r="D19" s="36"/>
    </row>
    <row r="21" spans="1:4" x14ac:dyDescent="0.35">
      <c r="A21" t="str">
        <f>'[26]real estate'!$A$18</f>
        <v xml:space="preserve">(1) In structures with at least six units.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9862C-4E3A-4739-82F2-D7CB8E9CEB31}">
  <dimension ref="A1:B12"/>
  <sheetViews>
    <sheetView topLeftCell="A5" workbookViewId="0">
      <selection activeCell="A8" sqref="A8:B10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2" ht="18.5" x14ac:dyDescent="0.45">
      <c r="A1" s="6" t="s">
        <v>17</v>
      </c>
    </row>
    <row r="2" spans="1:2" s="1" customFormat="1" x14ac:dyDescent="0.35"/>
    <row r="4" spans="1:2" x14ac:dyDescent="0.35">
      <c r="A4" s="7" t="s">
        <v>70</v>
      </c>
    </row>
    <row r="5" spans="1:2" x14ac:dyDescent="0.35">
      <c r="A5" s="1" t="str">
        <f>_xlfn.CONCAT("Household Income Per Capita,"," ", [16]TAB8_ha!B1)</f>
        <v>Household Income Per Capita, 2023</v>
      </c>
    </row>
    <row r="6" spans="1:2" x14ac:dyDescent="0.35">
      <c r="A6" t="s">
        <v>71</v>
      </c>
    </row>
    <row r="8" spans="1:2" x14ac:dyDescent="0.35">
      <c r="A8" t="s">
        <v>90</v>
      </c>
      <c r="B8" s="28">
        <f>+[16]TAB8_ha!B2/1000</f>
        <v>56.25041819237186</v>
      </c>
    </row>
    <row r="9" spans="1:2" x14ac:dyDescent="0.35">
      <c r="A9" t="s">
        <v>89</v>
      </c>
      <c r="B9" s="28">
        <f>+[17]TAB8_on!B2/1000</f>
        <v>57.935598797989712</v>
      </c>
    </row>
    <row r="10" spans="1:2" x14ac:dyDescent="0.35">
      <c r="A10" t="s">
        <v>10</v>
      </c>
      <c r="B10" s="28">
        <f>+[18]TAB8_K!B2/1000</f>
        <v>58.251608769384504</v>
      </c>
    </row>
    <row r="12" spans="1:2" x14ac:dyDescent="0.35">
      <c r="A12" t="s">
        <v>72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6AE9-E0AB-4DEC-9167-122A2D91F4C4}">
  <dimension ref="A1:B7"/>
  <sheetViews>
    <sheetView workbookViewId="0">
      <selection activeCell="B5" sqref="B5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2" ht="18.5" x14ac:dyDescent="0.45">
      <c r="A1" s="6" t="s">
        <v>17</v>
      </c>
    </row>
    <row r="2" spans="1:2" s="1" customFormat="1" x14ac:dyDescent="0.35"/>
    <row r="4" spans="1:2" x14ac:dyDescent="0.35">
      <c r="A4" s="7" t="s">
        <v>73</v>
      </c>
    </row>
    <row r="5" spans="1:2" x14ac:dyDescent="0.35">
      <c r="A5" s="1" t="str">
        <f>CONCATENATE("Economic Structure,"," ", [19]TAB9_ha!A2)</f>
        <v>Economic Structure, 2023</v>
      </c>
      <c r="B5" s="9">
        <f>+[19]TAB9_ha!B2</f>
        <v>0.92952845836575804</v>
      </c>
    </row>
    <row r="7" spans="1:2" x14ac:dyDescent="0.35">
      <c r="A7" t="s">
        <v>7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599F8-3731-454E-999B-34C4A3BD7AE7}">
  <dimension ref="A1:D17"/>
  <sheetViews>
    <sheetView workbookViewId="0">
      <selection activeCell="B8" sqref="B8:D15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4" ht="18.5" x14ac:dyDescent="0.45">
      <c r="A1" s="6" t="s">
        <v>17</v>
      </c>
    </row>
    <row r="2" spans="1:4" s="1" customFormat="1" x14ac:dyDescent="0.35"/>
    <row r="4" spans="1:4" x14ac:dyDescent="0.35">
      <c r="A4" s="7" t="s">
        <v>74</v>
      </c>
    </row>
    <row r="5" spans="1:4" x14ac:dyDescent="0.35">
      <c r="A5" s="1" t="s">
        <v>75</v>
      </c>
    </row>
    <row r="7" spans="1:4" x14ac:dyDescent="0.35">
      <c r="B7" t="s">
        <v>76</v>
      </c>
      <c r="C7" t="s">
        <v>77</v>
      </c>
      <c r="D7" t="s">
        <v>78</v>
      </c>
    </row>
    <row r="8" spans="1:4" x14ac:dyDescent="0.35">
      <c r="A8" s="2" t="str">
        <f>+[20]TAB5_ha!A2</f>
        <v>2021</v>
      </c>
      <c r="B8" s="4">
        <f>+[20]TAB5_ha!B2</f>
        <v>5868.0000000000018</v>
      </c>
      <c r="C8" s="4">
        <f>+[20]TAB5_ha!C2</f>
        <v>-1694.9375000000002</v>
      </c>
      <c r="D8" s="4">
        <f>+[20]TAB5_ha!D2</f>
        <v>3855.1875000000014</v>
      </c>
    </row>
    <row r="9" spans="1:4" x14ac:dyDescent="0.35">
      <c r="A9" s="2" t="str">
        <f>+[20]TAB5_ha!A3</f>
        <v>2022</v>
      </c>
      <c r="B9" s="4">
        <f>+[20]TAB5_ha!B3</f>
        <v>10439.75</v>
      </c>
      <c r="C9" s="4">
        <f>+[20]TAB5_ha!C3</f>
        <v>-2507.75</v>
      </c>
      <c r="D9" s="4">
        <f>+[20]TAB5_ha!D3</f>
        <v>3348.8749999999991</v>
      </c>
    </row>
    <row r="10" spans="1:4" x14ac:dyDescent="0.35">
      <c r="A10" s="2" t="str">
        <f>+[20]TAB5_ha!A4</f>
        <v>2023</v>
      </c>
      <c r="B10" s="4">
        <f>+[20]TAB5_ha!B4</f>
        <v>12350.455764002425</v>
      </c>
      <c r="C10" s="4">
        <f>+[20]TAB5_ha!C4</f>
        <v>-2687.8018128967565</v>
      </c>
      <c r="D10" s="4">
        <f>+[20]TAB5_ha!D4</f>
        <v>3319.3696178275923</v>
      </c>
    </row>
    <row r="11" spans="1:4" x14ac:dyDescent="0.35">
      <c r="A11" s="2" t="str">
        <f>CONCATENATE([20]TAB5_ha!A5,"f")</f>
        <v>2024f</v>
      </c>
      <c r="B11" s="4">
        <f>+[20]TAB5_ha!B5</f>
        <v>8800.0000000000018</v>
      </c>
      <c r="C11" s="4">
        <f>+[20]TAB5_ha!C5</f>
        <v>-2402.23675</v>
      </c>
      <c r="D11" s="4">
        <f>+[20]TAB5_ha!D5</f>
        <v>3350.0002500000001</v>
      </c>
    </row>
    <row r="12" spans="1:4" x14ac:dyDescent="0.35">
      <c r="A12" s="2" t="str">
        <f>CONCATENATE([20]TAB5_ha!A6,"f")</f>
        <v>2025f</v>
      </c>
      <c r="B12" s="4">
        <f>+[20]TAB5_ha!B6</f>
        <v>7750.0000000000045</v>
      </c>
      <c r="C12" s="4">
        <f>+[20]TAB5_ha!C6</f>
        <v>-2350.2464999999997</v>
      </c>
      <c r="D12" s="4">
        <f>+[20]TAB5_ha!D6</f>
        <v>3429.9994999999999</v>
      </c>
    </row>
    <row r="13" spans="1:4" x14ac:dyDescent="0.35">
      <c r="A13" s="2" t="str">
        <f>CONCATENATE([20]TAB5_ha!A7,"f")</f>
        <v>2026f</v>
      </c>
      <c r="B13" s="4">
        <f>+[20]TAB5_ha!B7</f>
        <v>6899.9999999999982</v>
      </c>
      <c r="C13" s="4">
        <f>+[20]TAB5_ha!C7</f>
        <v>-1163.2417250000001</v>
      </c>
      <c r="D13" s="4">
        <f>+[20]TAB5_ha!D7</f>
        <v>3480.0005000000001</v>
      </c>
    </row>
    <row r="14" spans="1:4" x14ac:dyDescent="0.35">
      <c r="A14" s="2" t="str">
        <f>CONCATENATE([20]TAB5_ha!A8,"f")</f>
        <v>2027f</v>
      </c>
      <c r="B14" s="4">
        <f>+[20]TAB5_ha!B8</f>
        <v>5250.0000000000027</v>
      </c>
      <c r="C14" s="4">
        <f>+[20]TAB5_ha!C8</f>
        <v>-681.97837499999991</v>
      </c>
      <c r="D14" s="4">
        <f>+[20]TAB5_ha!D8</f>
        <v>3480.0005000000001</v>
      </c>
    </row>
    <row r="15" spans="1:4" x14ac:dyDescent="0.35">
      <c r="A15" s="2" t="str">
        <f>CONCATENATE([20]TAB5_ha!A9,"f")</f>
        <v>2028f</v>
      </c>
      <c r="B15" s="4">
        <f>+[20]TAB5_ha!B9</f>
        <v>4700.0000000000055</v>
      </c>
      <c r="C15" s="4">
        <f>+[20]TAB5_ha!C9</f>
        <v>-245.5099975</v>
      </c>
      <c r="D15" s="4">
        <f>+[20]TAB5_ha!D9</f>
        <v>3550.0002500000001</v>
      </c>
    </row>
    <row r="17" spans="1:1" x14ac:dyDescent="0.35">
      <c r="A17" t="s">
        <v>72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B74F-5F4C-4699-ADB5-31CD1D46508D}">
  <dimension ref="A1:C20"/>
  <sheetViews>
    <sheetView zoomScale="85" zoomScaleNormal="85" workbookViewId="0">
      <selection activeCell="B7" sqref="B7:C18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3" ht="18.5" x14ac:dyDescent="0.45">
      <c r="A1" s="6" t="s">
        <v>17</v>
      </c>
    </row>
    <row r="2" spans="1:3" s="1" customFormat="1" x14ac:dyDescent="0.35"/>
    <row r="4" spans="1:3" x14ac:dyDescent="0.35">
      <c r="A4" s="7" t="s">
        <v>79</v>
      </c>
    </row>
    <row r="5" spans="1:3" x14ac:dyDescent="0.35">
      <c r="A5" s="1" t="s">
        <v>80</v>
      </c>
    </row>
    <row r="6" spans="1:3" x14ac:dyDescent="0.35">
      <c r="A6" t="str">
        <f>_xlfn.CONCAT("(",A8,"=1.0",")")</f>
        <v>(2018=1.0)</v>
      </c>
    </row>
    <row r="7" spans="1:3" x14ac:dyDescent="0.35">
      <c r="B7" t="s">
        <v>90</v>
      </c>
      <c r="C7" t="s">
        <v>10</v>
      </c>
    </row>
    <row r="8" spans="1:3" x14ac:dyDescent="0.35">
      <c r="A8" s="2" t="str">
        <f>+[21]TAB6_HA!A2</f>
        <v>2018</v>
      </c>
      <c r="B8" s="9">
        <f>+[21]TAB6_HA!B2/+[21]TAB6_HA!$B$2</f>
        <v>1</v>
      </c>
      <c r="C8" s="9">
        <f>+[21]TAB6_HA!C2/+[21]TAB6_HA!$C$2</f>
        <v>1</v>
      </c>
    </row>
    <row r="9" spans="1:3" x14ac:dyDescent="0.35">
      <c r="A9" s="2" t="str">
        <f>+[21]TAB6_HA!A3</f>
        <v>2019</v>
      </c>
      <c r="B9" s="9">
        <f>+[21]TAB6_HA!B3/+[21]TAB6_HA!$B$2</f>
        <v>0.88606194690265483</v>
      </c>
      <c r="C9" s="9">
        <f>+[21]TAB6_HA!C3/+[21]TAB6_HA!$C$2</f>
        <v>0.98046447381403179</v>
      </c>
    </row>
    <row r="10" spans="1:3" x14ac:dyDescent="0.35">
      <c r="A10" s="2" t="str">
        <f>+[21]TAB6_HA!A4</f>
        <v>2020</v>
      </c>
      <c r="B10" s="9">
        <f>+[21]TAB6_HA!B4/+[21]TAB6_HA!$B$2</f>
        <v>0.94883849557522137</v>
      </c>
      <c r="C10" s="9">
        <f>+[21]TAB6_HA!C4/+[21]TAB6_HA!$C$2</f>
        <v>1.0236653307837231</v>
      </c>
    </row>
    <row r="11" spans="1:3" x14ac:dyDescent="0.35">
      <c r="A11" s="2" t="str">
        <f>+[21]TAB6_HA!A5</f>
        <v>2021</v>
      </c>
      <c r="B11" s="9">
        <f>+[21]TAB6_HA!B5/+[21]TAB6_HA!$B$2</f>
        <v>1.1579092920353984</v>
      </c>
      <c r="C11" s="9">
        <f>+[21]TAB6_HA!C5/+[21]TAB6_HA!$C$2</f>
        <v>1.2741692233242341</v>
      </c>
    </row>
    <row r="12" spans="1:3" x14ac:dyDescent="0.35">
      <c r="A12" s="2" t="str">
        <f>+[21]TAB6_HA!A6</f>
        <v>2022</v>
      </c>
      <c r="B12" s="9">
        <f>+[21]TAB6_HA!B6/+[21]TAB6_HA!$B$2</f>
        <v>0.97621681415929218</v>
      </c>
      <c r="C12" s="9">
        <f>+[21]TAB6_HA!C6/+[21]TAB6_HA!$C$2</f>
        <v>1.230244828347655</v>
      </c>
    </row>
    <row r="13" spans="1:3" x14ac:dyDescent="0.35">
      <c r="A13" s="2" t="str">
        <f>+[21]TAB6_HA!A7</f>
        <v>2023</v>
      </c>
      <c r="B13" s="9">
        <f>+[21]TAB6_HA!B7/+[21]TAB6_HA!$B$2</f>
        <v>1.0235066371681416</v>
      </c>
      <c r="C13" s="9">
        <f>+[21]TAB6_HA!C7/+[21]TAB6_HA!$C$2</f>
        <v>1.1311224705534122</v>
      </c>
    </row>
    <row r="14" spans="1:3" x14ac:dyDescent="0.35">
      <c r="A14" s="2" t="str">
        <f>CONCATENATE([21]TAB6_HA!A8,"f")</f>
        <v>2024f</v>
      </c>
      <c r="B14" s="9">
        <f>+[21]TAB6_HA!B8/+[21]TAB6_HA!$B$2</f>
        <v>0.92205936578171099</v>
      </c>
      <c r="C14" s="9">
        <f>+[21]TAB6_HA!C8/+[21]TAB6_HA!$C$2</f>
        <v>1.1525673853497644</v>
      </c>
    </row>
    <row r="15" spans="1:3" x14ac:dyDescent="0.35">
      <c r="A15" s="2" t="str">
        <f>CONCATENATE([21]TAB6_HA!A9,"f")</f>
        <v>2025f</v>
      </c>
      <c r="B15" s="9">
        <f>+[21]TAB6_HA!B9/+[21]TAB6_HA!$B$2</f>
        <v>1.2856747096238939</v>
      </c>
      <c r="C15" s="9">
        <f>+[21]TAB6_HA!C9/+[21]TAB6_HA!$C$2</f>
        <v>1.1721934712440623</v>
      </c>
    </row>
    <row r="16" spans="1:3" x14ac:dyDescent="0.35">
      <c r="A16" s="2" t="str">
        <f>CONCATENATE([21]TAB6_HA!A10,"f")</f>
        <v>2026f</v>
      </c>
      <c r="B16" s="9">
        <f>+[21]TAB6_HA!B10/+[21]TAB6_HA!$B$2</f>
        <v>1.3094579646017699</v>
      </c>
      <c r="C16" s="9">
        <f>+[21]TAB6_HA!C10/+[21]TAB6_HA!$C$2</f>
        <v>1.168117462166949</v>
      </c>
    </row>
    <row r="17" spans="1:3" x14ac:dyDescent="0.35">
      <c r="A17" s="2" t="str">
        <f>CONCATENATE([21]TAB6_HA!A11,"f")</f>
        <v>2027f</v>
      </c>
      <c r="B17" s="9">
        <f>+[21]TAB6_HA!B11/+[21]TAB6_HA!$B$2</f>
        <v>1.3246681415929205</v>
      </c>
      <c r="C17" s="9">
        <f>+[21]TAB6_HA!C11/+[21]TAB6_HA!$C$2</f>
        <v>1.1573844335965942</v>
      </c>
    </row>
    <row r="18" spans="1:3" x14ac:dyDescent="0.35">
      <c r="A18" s="2" t="str">
        <f>CONCATENATE([21]TAB6_HA!A12,"f")</f>
        <v>2028f</v>
      </c>
      <c r="B18" s="9">
        <f>+[21]TAB6_HA!B12/+[21]TAB6_HA!$B$2</f>
        <v>1.3744469026548676</v>
      </c>
      <c r="C18" s="9">
        <f>+[21]TAB6_HA!C12/+[21]TAB6_HA!$C$2</f>
        <v>1.1406662422536795</v>
      </c>
    </row>
    <row r="19" spans="1:3" x14ac:dyDescent="0.35">
      <c r="B19" s="9"/>
      <c r="C19" s="9"/>
    </row>
    <row r="20" spans="1:3" x14ac:dyDescent="0.35">
      <c r="A20" t="s">
        <v>88</v>
      </c>
      <c r="B20" s="9"/>
      <c r="C20" s="9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72DD5-699B-443D-9815-E2677C66BF90}">
  <dimension ref="A1:L19"/>
  <sheetViews>
    <sheetView workbookViewId="0">
      <selection activeCell="A14" sqref="A14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12" ht="18.5" x14ac:dyDescent="0.45">
      <c r="A1" s="6" t="s">
        <v>17</v>
      </c>
    </row>
    <row r="2" spans="1:12" s="1" customFormat="1" x14ac:dyDescent="0.35"/>
    <row r="4" spans="1:12" x14ac:dyDescent="0.35">
      <c r="A4" s="7" t="s">
        <v>81</v>
      </c>
    </row>
    <row r="5" spans="1:12" x14ac:dyDescent="0.35">
      <c r="A5" s="1" t="str">
        <f>CONCATENATE("Comparative Employment,"," ", [22]TAB7_on!B1)</f>
        <v>Comparative Employment, 2023</v>
      </c>
    </row>
    <row r="6" spans="1:12" x14ac:dyDescent="0.35">
      <c r="A6" t="s">
        <v>82</v>
      </c>
    </row>
    <row r="8" spans="1:12" s="1" customFormat="1" x14ac:dyDescent="0.35">
      <c r="A8" s="1" t="s">
        <v>83</v>
      </c>
      <c r="B8" s="1" t="s">
        <v>90</v>
      </c>
      <c r="C8" s="1" t="s">
        <v>89</v>
      </c>
      <c r="D8" s="1" t="s">
        <v>10</v>
      </c>
    </row>
    <row r="9" spans="1:12" x14ac:dyDescent="0.35">
      <c r="A9" t="s">
        <v>84</v>
      </c>
      <c r="B9" s="9">
        <f>+[23]TAB7_ha!B3</f>
        <v>0.2149759159327721</v>
      </c>
      <c r="C9" s="9">
        <f>+[22]TAB7_on!B3</f>
        <v>0.20039654504804422</v>
      </c>
      <c r="D9" s="9">
        <f>+[24]TAB7_k!B3</f>
        <v>0.20485928774063367</v>
      </c>
      <c r="F9" s="48"/>
      <c r="G9" s="53">
        <f>+B9</f>
        <v>0.2149759159327721</v>
      </c>
      <c r="H9" s="53">
        <f>+B10</f>
        <v>0.26378658955482209</v>
      </c>
      <c r="I9" s="53">
        <f>+B11</f>
        <v>4.1649493011710711E-2</v>
      </c>
      <c r="J9" s="53">
        <f>+B12</f>
        <v>0.15815818921971456</v>
      </c>
      <c r="K9" s="53">
        <f>+B13</f>
        <v>0.21896667104357448</v>
      </c>
      <c r="L9" s="53">
        <f>+B14</f>
        <v>0.1024631412374061</v>
      </c>
    </row>
    <row r="10" spans="1:12" x14ac:dyDescent="0.35">
      <c r="A10" t="s">
        <v>14</v>
      </c>
      <c r="B10" s="9">
        <f>+[23]TAB7_ha!B4</f>
        <v>0.26378658955482209</v>
      </c>
      <c r="C10" s="9">
        <f>+[22]TAB7_on!B4</f>
        <v>0.30298604302171045</v>
      </c>
      <c r="D10" s="9">
        <f>+[24]TAB7_k!B4</f>
        <v>0.27388265923101462</v>
      </c>
      <c r="F10" s="48"/>
      <c r="G10" s="53">
        <f>+C9</f>
        <v>0.20039654504804422</v>
      </c>
      <c r="H10" s="53">
        <f>+C10</f>
        <v>0.30298604302171045</v>
      </c>
      <c r="I10" s="53">
        <f>+C11</f>
        <v>5.0147002306358553E-2</v>
      </c>
      <c r="J10" s="53">
        <f>+C12</f>
        <v>0.14195345074219926</v>
      </c>
      <c r="K10" s="53">
        <f>+C13</f>
        <v>0.19409228395301412</v>
      </c>
      <c r="L10" s="53">
        <f>+C14</f>
        <v>0.11042467492867351</v>
      </c>
    </row>
    <row r="11" spans="1:12" x14ac:dyDescent="0.35">
      <c r="A11" t="s">
        <v>85</v>
      </c>
      <c r="B11" s="9">
        <f>+[23]TAB7_ha!B5</f>
        <v>4.1649493011710711E-2</v>
      </c>
      <c r="C11" s="9">
        <f>+[22]TAB7_on!B5</f>
        <v>5.0147002306358553E-2</v>
      </c>
      <c r="D11" s="9">
        <f>+[24]TAB7_k!B5</f>
        <v>5.0787629570137625E-2</v>
      </c>
      <c r="F11" s="48"/>
      <c r="G11" s="53">
        <f>+D9</f>
        <v>0.20485928774063367</v>
      </c>
      <c r="H11" s="53">
        <f>+D10</f>
        <v>0.27388265923101462</v>
      </c>
      <c r="I11" s="53">
        <f>+D11</f>
        <v>5.0787629570137625E-2</v>
      </c>
      <c r="J11" s="53">
        <f>+D12</f>
        <v>0.14733522971888688</v>
      </c>
      <c r="K11" s="53">
        <f>+D13</f>
        <v>0.20633036002752841</v>
      </c>
      <c r="L11" s="53">
        <f>+D14</f>
        <v>0.11680483371179863</v>
      </c>
    </row>
    <row r="12" spans="1:12" x14ac:dyDescent="0.35">
      <c r="A12" t="s">
        <v>86</v>
      </c>
      <c r="B12" s="9">
        <f>+[23]TAB7_ha!B6</f>
        <v>0.15815818921971456</v>
      </c>
      <c r="C12" s="9">
        <f>+[22]TAB7_on!B6</f>
        <v>0.14195345074219926</v>
      </c>
      <c r="D12" s="9">
        <f>+[24]TAB7_k!B6</f>
        <v>0.14733522971888688</v>
      </c>
      <c r="F12" s="48"/>
      <c r="G12" s="48"/>
      <c r="H12" s="48"/>
    </row>
    <row r="13" spans="1:12" x14ac:dyDescent="0.35">
      <c r="A13" t="s">
        <v>24</v>
      </c>
      <c r="B13" s="9">
        <f>+[23]TAB7_ha!B7</f>
        <v>0.21896667104357448</v>
      </c>
      <c r="C13" s="9">
        <f>+[22]TAB7_on!B7</f>
        <v>0.19409228395301412</v>
      </c>
      <c r="D13" s="9">
        <f>+[24]TAB7_k!B7</f>
        <v>0.20633036002752841</v>
      </c>
      <c r="F13" s="48"/>
      <c r="G13" s="48"/>
      <c r="H13" s="48"/>
    </row>
    <row r="14" spans="1:12" x14ac:dyDescent="0.35">
      <c r="A14" t="s">
        <v>103</v>
      </c>
      <c r="B14" s="9">
        <f>+[23]TAB7_ha!B8</f>
        <v>0.1024631412374061</v>
      </c>
      <c r="C14" s="9">
        <f>+[22]TAB7_on!B8</f>
        <v>0.11042467492867351</v>
      </c>
      <c r="D14" s="9">
        <f>+[24]TAB7_k!B8</f>
        <v>0.11680483371179863</v>
      </c>
      <c r="F14" s="48"/>
      <c r="G14" s="48"/>
      <c r="H14" s="48"/>
    </row>
    <row r="15" spans="1:12" s="1" customFormat="1" x14ac:dyDescent="0.35">
      <c r="A15" s="1" t="s">
        <v>12</v>
      </c>
      <c r="B15" s="29">
        <f>+[23]TAB7_ha!B2</f>
        <v>1</v>
      </c>
      <c r="C15" s="29">
        <f>+[22]TAB7_on!B2</f>
        <v>1</v>
      </c>
      <c r="D15" s="29">
        <f>+[24]TAB7_k!B2</f>
        <v>1</v>
      </c>
    </row>
    <row r="16" spans="1:12" s="1" customFormat="1" x14ac:dyDescent="0.35">
      <c r="B16" s="29"/>
      <c r="C16" s="29"/>
      <c r="D16" s="29"/>
    </row>
    <row r="17" spans="1:4" s="1" customFormat="1" x14ac:dyDescent="0.35">
      <c r="A17" t="s">
        <v>101</v>
      </c>
      <c r="B17" s="29"/>
      <c r="C17" s="29"/>
      <c r="D17" s="29"/>
    </row>
    <row r="18" spans="1:4" x14ac:dyDescent="0.35">
      <c r="A18" t="s">
        <v>102</v>
      </c>
    </row>
    <row r="19" spans="1:4" x14ac:dyDescent="0.35">
      <c r="A19" t="s">
        <v>72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1F98-003D-4CFE-839E-FEFF43B9E8A5}">
  <dimension ref="A1:C20"/>
  <sheetViews>
    <sheetView topLeftCell="A6" workbookViewId="0">
      <selection activeCell="B7" sqref="B7:C18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3" ht="18.5" x14ac:dyDescent="0.45">
      <c r="A1" s="6" t="s">
        <v>17</v>
      </c>
    </row>
    <row r="2" spans="1:3" s="1" customFormat="1" x14ac:dyDescent="0.35"/>
    <row r="4" spans="1:3" x14ac:dyDescent="0.35">
      <c r="A4" s="7" t="s">
        <v>87</v>
      </c>
    </row>
    <row r="5" spans="1:3" x14ac:dyDescent="0.35">
      <c r="A5" s="1" t="s">
        <v>9</v>
      </c>
    </row>
    <row r="6" spans="1:3" x14ac:dyDescent="0.35">
      <c r="A6" t="str">
        <f>_xlfn.CONCAT("(",A8,"=1.0",")")</f>
        <v>(2018=1.0)</v>
      </c>
    </row>
    <row r="7" spans="1:3" x14ac:dyDescent="0.35">
      <c r="B7" t="s">
        <v>90</v>
      </c>
      <c r="C7" t="s">
        <v>10</v>
      </c>
    </row>
    <row r="8" spans="1:3" x14ac:dyDescent="0.35">
      <c r="A8" s="30" t="str">
        <f>+[25]tab2_ha!A2</f>
        <v>2018</v>
      </c>
      <c r="B8" s="9">
        <f>+[25]tab2_ha!C2/[25]tab2_ha!$C$2</f>
        <v>1</v>
      </c>
      <c r="C8" s="9">
        <f>+[25]tab2_ha!B2/[25]tab2_ha!$B$2</f>
        <v>1</v>
      </c>
    </row>
    <row r="9" spans="1:3" x14ac:dyDescent="0.35">
      <c r="A9" s="30" t="str">
        <f>+[25]tab2_ha!A3</f>
        <v>2019</v>
      </c>
      <c r="B9" s="9">
        <f>+[25]tab2_ha!C3/[25]tab2_ha!$C$2</f>
        <v>1.0181026018654886</v>
      </c>
      <c r="C9" s="9">
        <f>+[25]tab2_ha!B3/[25]tab2_ha!$B$2</f>
        <v>1.0205840436508802</v>
      </c>
    </row>
    <row r="10" spans="1:3" x14ac:dyDescent="0.35">
      <c r="A10" s="30" t="str">
        <f>+[25]tab2_ha!A4</f>
        <v>2020</v>
      </c>
      <c r="B10" s="9">
        <f>+[25]tab2_ha!C4/[25]tab2_ha!$C$2</f>
        <v>0.94274668630338732</v>
      </c>
      <c r="C10" s="9">
        <f>+[25]tab2_ha!B4/[25]tab2_ha!$B$2</f>
        <v>0.96359549341948658</v>
      </c>
    </row>
    <row r="11" spans="1:3" x14ac:dyDescent="0.35">
      <c r="A11" s="30" t="str">
        <f>+[25]tab2_ha!A5</f>
        <v>2021</v>
      </c>
      <c r="B11" s="9">
        <f>+[25]tab2_ha!C5/[25]tab2_ha!$C$2</f>
        <v>1.0055228276877761</v>
      </c>
      <c r="C11" s="9">
        <f>+[25]tab2_ha!B5/[25]tab2_ha!$B$2</f>
        <v>1.0117897065543509</v>
      </c>
    </row>
    <row r="12" spans="1:3" x14ac:dyDescent="0.35">
      <c r="A12" s="30" t="str">
        <f>+[25]tab2_ha!A6</f>
        <v>2022</v>
      </c>
      <c r="B12" s="9">
        <f>+[25]tab2_ha!C6/[25]tab2_ha!$C$2</f>
        <v>1.0274914089347078</v>
      </c>
      <c r="C12" s="9">
        <f>+[25]tab2_ha!B6/[25]tab2_ha!$B$2</f>
        <v>1.0518383123415718</v>
      </c>
    </row>
    <row r="13" spans="1:3" x14ac:dyDescent="0.35">
      <c r="A13" s="30" t="str">
        <f>+[25]tab2_ha!A7</f>
        <v>2023</v>
      </c>
      <c r="B13" s="9">
        <f>+[25]tab2_ha!C7/[25]tab2_ha!$C$2</f>
        <v>1.016323024054983</v>
      </c>
      <c r="C13" s="9">
        <f>+[25]tab2_ha!B7/[25]tab2_ha!$B$2</f>
        <v>1.0775890568457229</v>
      </c>
    </row>
    <row r="14" spans="1:3" x14ac:dyDescent="0.35">
      <c r="A14" s="30" t="str">
        <f>CONCATENATE([25]tab2_ha!A8,"f")</f>
        <v>2024f</v>
      </c>
      <c r="B14" s="9">
        <f>+[25]tab2_ha!C8/[25]tab2_ha!$C$2</f>
        <v>1.034281848306333</v>
      </c>
      <c r="C14" s="9">
        <f>+[25]tab2_ha!B8/[25]tab2_ha!$B$2</f>
        <v>1.0950395311348011</v>
      </c>
    </row>
    <row r="15" spans="1:3" x14ac:dyDescent="0.35">
      <c r="A15" s="30" t="str">
        <f>CONCATENATE([25]tab2_ha!A9,"f")</f>
        <v>2025f</v>
      </c>
      <c r="B15" s="9">
        <f>+[25]tab2_ha!C9/[25]tab2_ha!$C$2</f>
        <v>1.0433199558173785</v>
      </c>
      <c r="C15" s="9">
        <f>+[25]tab2_ha!B9/[25]tab2_ha!$B$2</f>
        <v>1.1150201404335278</v>
      </c>
    </row>
    <row r="16" spans="1:3" x14ac:dyDescent="0.35">
      <c r="A16" s="30" t="str">
        <f>CONCATENATE([25]tab2_ha!A10,"f")</f>
        <v>2026f</v>
      </c>
      <c r="B16" s="9">
        <f>+[25]tab2_ha!C10/[25]tab2_ha!$C$2</f>
        <v>1.0634135370643103</v>
      </c>
      <c r="C16" s="9">
        <f>+[25]tab2_ha!B10/[25]tab2_ha!$B$2</f>
        <v>1.1340730394946494</v>
      </c>
    </row>
    <row r="17" spans="1:3" x14ac:dyDescent="0.35">
      <c r="A17" s="30" t="str">
        <f>CONCATENATE([25]tab2_ha!A11,"f")</f>
        <v>2027f</v>
      </c>
      <c r="B17" s="9">
        <f>+[25]tab2_ha!C11/[25]tab2_ha!$C$2</f>
        <v>1.075960787923417</v>
      </c>
      <c r="C17" s="9">
        <f>+[25]tab2_ha!B11/[25]tab2_ha!$B$2</f>
        <v>1.1477856646743514</v>
      </c>
    </row>
    <row r="18" spans="1:3" x14ac:dyDescent="0.35">
      <c r="A18" s="30" t="str">
        <f>CONCATENATE([25]tab2_ha!A12,"f")</f>
        <v>2028f</v>
      </c>
      <c r="B18" s="9">
        <f>+[25]tab2_ha!C12/[25]tab2_ha!$C$2</f>
        <v>1.0870552896416299</v>
      </c>
      <c r="C18" s="9">
        <f>+[25]tab2_ha!B12/[25]tab2_ha!$B$2</f>
        <v>1.1586789851161463</v>
      </c>
    </row>
    <row r="20" spans="1:3" x14ac:dyDescent="0.35">
      <c r="A20" t="s">
        <v>72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82"/>
  <sheetViews>
    <sheetView topLeftCell="A14" workbookViewId="0">
      <selection activeCell="A25" sqref="A25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5" ht="18.5" x14ac:dyDescent="0.45">
      <c r="A1" s="6" t="s">
        <v>17</v>
      </c>
    </row>
    <row r="2" spans="1:5" s="1" customFormat="1" x14ac:dyDescent="0.35"/>
    <row r="3" spans="1:5" x14ac:dyDescent="0.35">
      <c r="A3" s="1" t="s">
        <v>18</v>
      </c>
    </row>
    <row r="4" spans="1:5" x14ac:dyDescent="0.35">
      <c r="A4" s="1" t="s">
        <v>104</v>
      </c>
    </row>
    <row r="5" spans="1:5" x14ac:dyDescent="0.35">
      <c r="B5" s="42" t="str">
        <f>D23</f>
        <v>2023</v>
      </c>
      <c r="C5" s="42" t="str">
        <f>E23</f>
        <v>2024</v>
      </c>
      <c r="D5" s="1" t="str">
        <f>_xlfn.CONCAT([1]TAB1_CAN!I1,"-",RIGHT([1]TAB1_CAN!L1,2))</f>
        <v>2025-28</v>
      </c>
      <c r="E5" s="1" t="str">
        <f>_xlfn.CONCAT([1]TAB1_CAN!C1,"-",RIGHT([1]TAB1_CAN!L1,2))</f>
        <v>2019-28</v>
      </c>
    </row>
    <row r="6" spans="1:5" x14ac:dyDescent="0.35">
      <c r="A6" s="2"/>
      <c r="B6" s="2">
        <f>D25</f>
        <v>0.20452946881879264</v>
      </c>
      <c r="C6" s="15">
        <f>E25</f>
        <v>0.31663546173790191</v>
      </c>
      <c r="D6" s="15">
        <f>100*((I24/E24)^(1/4)-1)</f>
        <v>2.5171727159492452</v>
      </c>
      <c r="E6" s="15">
        <f>100*(([2]tab1_ha!$L$2/[2]tab1_ha!$B$2)^(1/10)-1)</f>
        <v>1.2544002027449208</v>
      </c>
    </row>
    <row r="7" spans="1:5" x14ac:dyDescent="0.35">
      <c r="A7" t="str">
        <f>CONCATENATE("Out of"," ", [3]DATA!$B$60," ", "CMAs")</f>
        <v>Out of 13 CMAs</v>
      </c>
      <c r="B7" s="23" t="str">
        <f>[4]ranking!$B$76</f>
        <v>#12</v>
      </c>
      <c r="C7" s="23" t="str">
        <f>[4]ranking!$D$76</f>
        <v>#13</v>
      </c>
      <c r="D7" s="23" t="str">
        <f>[4]ranking!$F$76</f>
        <v>#6</v>
      </c>
      <c r="E7" s="23" t="str">
        <f>[4]ranking!$H$76</f>
        <v>#12</v>
      </c>
    </row>
    <row r="8" spans="1:5" x14ac:dyDescent="0.35">
      <c r="B8" s="23"/>
      <c r="C8" s="23"/>
      <c r="D8" s="23"/>
      <c r="E8" s="23"/>
    </row>
    <row r="9" spans="1:5" x14ac:dyDescent="0.35">
      <c r="A9" t="s">
        <v>105</v>
      </c>
      <c r="B9" s="23"/>
      <c r="C9" s="23"/>
      <c r="D9" s="23"/>
      <c r="E9" s="23"/>
    </row>
    <row r="12" spans="1:5" x14ac:dyDescent="0.35">
      <c r="A12" s="1" t="s">
        <v>0</v>
      </c>
      <c r="B12" s="9" t="str">
        <f>[5]Sheet1!$B$31</f>
        <v>AAA</v>
      </c>
      <c r="C12" s="9"/>
    </row>
    <row r="13" spans="1:5" x14ac:dyDescent="0.35">
      <c r="A13" t="s">
        <v>1</v>
      </c>
    </row>
    <row r="16" spans="1:5" x14ac:dyDescent="0.35">
      <c r="A16" s="1" t="s">
        <v>19</v>
      </c>
      <c r="B16" s="1"/>
    </row>
    <row r="17" spans="1:9" x14ac:dyDescent="0.35">
      <c r="A17" t="s">
        <v>106</v>
      </c>
      <c r="B17" s="1"/>
    </row>
    <row r="18" spans="1:9" x14ac:dyDescent="0.35">
      <c r="A18" s="1"/>
      <c r="B18" s="1"/>
    </row>
    <row r="19" spans="1:9" x14ac:dyDescent="0.35">
      <c r="A19" t="str">
        <f>_xlfn.CONCAT("Homeownership (",[6]data!$B$2,")")</f>
        <v>Homeownership (2023)</v>
      </c>
      <c r="B19" s="9">
        <f>[6]data!$C$16</f>
        <v>1.2878174522326846</v>
      </c>
    </row>
    <row r="20" spans="1:9" x14ac:dyDescent="0.35">
      <c r="A20" t="str">
        <f>_xlfn.CONCAT("Rental (", [6]data!$F$2,")")</f>
        <v>Rental (Oct. 2023)</v>
      </c>
      <c r="B20" s="9">
        <f>[6]data!$G$16</f>
        <v>1.1898454746136866</v>
      </c>
    </row>
    <row r="21" spans="1:9" x14ac:dyDescent="0.35">
      <c r="B21" s="9"/>
    </row>
    <row r="23" spans="1:9" x14ac:dyDescent="0.35">
      <c r="A23" s="3" t="s">
        <v>2</v>
      </c>
      <c r="B23" s="43" t="str">
        <f>+[2]tab1_ha!E1</f>
        <v>2021</v>
      </c>
      <c r="C23" s="43" t="str">
        <f>+[2]tab1_ha!F1</f>
        <v>2022</v>
      </c>
      <c r="D23" s="43" t="str">
        <f>+[2]tab1_ha!G1</f>
        <v>2023</v>
      </c>
      <c r="E23" s="43" t="str">
        <f>+[2]tab1_ha!H1</f>
        <v>2024</v>
      </c>
      <c r="F23" s="43" t="str">
        <f>+[2]tab1_ha!I1</f>
        <v>2025</v>
      </c>
      <c r="G23" s="43" t="str">
        <f>+[2]tab1_ha!J1</f>
        <v>2026</v>
      </c>
      <c r="H23" s="43" t="str">
        <f>+[2]tab1_ha!K1</f>
        <v>2027</v>
      </c>
      <c r="I23" s="43" t="str">
        <f>+[2]tab1_ha!L1</f>
        <v>2028</v>
      </c>
    </row>
    <row r="24" spans="1:9" x14ac:dyDescent="0.35">
      <c r="A24" s="37" t="s">
        <v>111</v>
      </c>
      <c r="B24" s="4">
        <f>+[2]tab1_ha!E2</f>
        <v>33524.628809907488</v>
      </c>
      <c r="C24" s="4">
        <f>+[2]tab1_ha!F2</f>
        <v>34294.870066256786</v>
      </c>
      <c r="D24" s="4">
        <f>+[2]tab1_ha!G2</f>
        <v>34365.013181835398</v>
      </c>
      <c r="E24" s="44">
        <f>+[2]tab1_ha!H2</f>
        <v>34473.824999999997</v>
      </c>
      <c r="F24" s="44">
        <f>+[2]tab1_ha!I2</f>
        <v>35352</v>
      </c>
      <c r="G24" s="44">
        <f>+[2]tab1_ha!J2</f>
        <v>36250.192499999997</v>
      </c>
      <c r="H24" s="44">
        <f>+[2]tab1_ha!K2</f>
        <v>37171.565000000002</v>
      </c>
      <c r="I24" s="44">
        <f>+[2]tab1_ha!L2</f>
        <v>38078.160000000003</v>
      </c>
    </row>
    <row r="25" spans="1:9" x14ac:dyDescent="0.35">
      <c r="A25" s="38"/>
      <c r="B25" s="38">
        <f>+[2]tab1_ha!E3</f>
        <v>4.0733310503878961</v>
      </c>
      <c r="C25" s="38">
        <f>+[2]tab1_ha!F3</f>
        <v>2.2975385073366494</v>
      </c>
      <c r="D25" s="38">
        <f>+[2]tab1_ha!G3</f>
        <v>0.20452946881879264</v>
      </c>
      <c r="E25" s="45">
        <f>+[2]tab1_ha!H3</f>
        <v>0.31663546173790191</v>
      </c>
      <c r="F25" s="45">
        <f>+[2]tab1_ha!I3</f>
        <v>2.5473674592245032</v>
      </c>
      <c r="G25" s="45">
        <f>+[2]tab1_ha!J3</f>
        <v>2.540711982348931</v>
      </c>
      <c r="H25" s="45">
        <f>+[2]tab1_ha!K3</f>
        <v>2.5417037440560009</v>
      </c>
      <c r="I25" s="45">
        <f>+[2]tab1_ha!L3</f>
        <v>2.4389476203113825</v>
      </c>
    </row>
    <row r="26" spans="1:9" x14ac:dyDescent="0.35">
      <c r="A26" s="37" t="s">
        <v>3</v>
      </c>
      <c r="B26" s="4">
        <f>+[2]tab1_ha!E4</f>
        <v>409.65</v>
      </c>
      <c r="C26" s="4">
        <f>+[2]tab1_ha!F4</f>
        <v>418.59999999999997</v>
      </c>
      <c r="D26" s="4">
        <f>+[2]tab1_ha!G4</f>
        <v>414.05</v>
      </c>
      <c r="E26" s="44">
        <f>+[2]tab1_ha!H4</f>
        <v>421.36642499999999</v>
      </c>
      <c r="F26" s="44">
        <f>+[2]tab1_ha!I4</f>
        <v>425.04854999999998</v>
      </c>
      <c r="G26" s="44">
        <f>+[2]tab1_ha!J4</f>
        <v>433.23467499999998</v>
      </c>
      <c r="H26" s="44">
        <f>+[2]tab1_ha!K4</f>
        <v>438.34642500000001</v>
      </c>
      <c r="I26" s="44">
        <f>+[2]tab1_ha!L4</f>
        <v>442.86632500000002</v>
      </c>
    </row>
    <row r="27" spans="1:9" x14ac:dyDescent="0.35">
      <c r="A27" s="38"/>
      <c r="B27" s="38">
        <f>+[2]tab1_ha!E5</f>
        <v>6.6588556922476005</v>
      </c>
      <c r="C27" s="38">
        <f>+[2]tab1_ha!F5</f>
        <v>2.1847918955205659</v>
      </c>
      <c r="D27" s="38">
        <f>+[2]tab1_ha!G5</f>
        <v>-1.0869565217391242</v>
      </c>
      <c r="E27" s="45">
        <f>+[2]tab1_ha!H5</f>
        <v>1.7670390049510987</v>
      </c>
      <c r="F27" s="45">
        <f>+[2]tab1_ha!I5</f>
        <v>0.87385344003143572</v>
      </c>
      <c r="G27" s="45">
        <f>+[2]tab1_ha!J5</f>
        <v>1.9259270499805359</v>
      </c>
      <c r="H27" s="45">
        <f>+[2]tab1_ha!K5</f>
        <v>1.1799032475874771</v>
      </c>
      <c r="I27" s="45">
        <f>+[2]tab1_ha!L5</f>
        <v>1.0311250970051811</v>
      </c>
    </row>
    <row r="28" spans="1:9" x14ac:dyDescent="0.35">
      <c r="A28" s="39" t="s">
        <v>6</v>
      </c>
      <c r="B28" s="2">
        <f>+[2]tab1_ha!E6</f>
        <v>6.8250000000000002</v>
      </c>
      <c r="C28" s="2">
        <f>+[2]tab1_ha!F6</f>
        <v>4.875</v>
      </c>
      <c r="D28" s="2">
        <f>+[2]tab1_ha!G6</f>
        <v>5.45</v>
      </c>
      <c r="E28" s="15">
        <f>+[2]tab1_ha!H6</f>
        <v>6.3877027499999999</v>
      </c>
      <c r="F28" s="15">
        <f>+[2]tab1_ha!I6</f>
        <v>6.2016819999999999</v>
      </c>
      <c r="G28" s="15">
        <f>+[2]tab1_ha!J6</f>
        <v>5.9022494999999999</v>
      </c>
      <c r="H28" s="15">
        <f>+[2]tab1_ha!K6</f>
        <v>5.6026782500000003</v>
      </c>
      <c r="I28" s="15">
        <f>+[2]tab1_ha!L6</f>
        <v>5.5030039999999998</v>
      </c>
    </row>
    <row r="29" spans="1:9" x14ac:dyDescent="0.35">
      <c r="A29" s="37" t="s">
        <v>91</v>
      </c>
      <c r="B29" s="4">
        <f>+[2]tab1_ha!E7</f>
        <v>53734.766811318259</v>
      </c>
      <c r="C29" s="4">
        <f>+[2]tab1_ha!F7</f>
        <v>55811.410418924228</v>
      </c>
      <c r="D29" s="4">
        <f>+[2]tab1_ha!G7</f>
        <v>56250.418192371857</v>
      </c>
      <c r="E29" s="44">
        <f>+[2]tab1_ha!H7</f>
        <v>58241.850533774712</v>
      </c>
      <c r="F29" s="44">
        <f>+[2]tab1_ha!I7</f>
        <v>59326.138213901635</v>
      </c>
      <c r="G29" s="44">
        <f>+[2]tab1_ha!J7</f>
        <v>60852.175195508076</v>
      </c>
      <c r="H29" s="44">
        <f>+[2]tab1_ha!K7</f>
        <v>62222.403171555605</v>
      </c>
      <c r="I29" s="44">
        <f>+[2]tab1_ha!L7</f>
        <v>63669.095042996109</v>
      </c>
    </row>
    <row r="30" spans="1:9" x14ac:dyDescent="0.35">
      <c r="A30" s="37"/>
      <c r="B30" s="10">
        <f>+[2]tab1_ha!E8</f>
        <v>3.6220059006583538</v>
      </c>
      <c r="C30" s="10">
        <f>+[2]tab1_ha!F8</f>
        <v>3.8646182552495301</v>
      </c>
      <c r="D30" s="10">
        <f>+[2]tab1_ha!G8</f>
        <v>0.78659143381685226</v>
      </c>
      <c r="E30" s="16">
        <f>+[2]tab1_ha!H8</f>
        <v>3.540297842039708</v>
      </c>
      <c r="F30" s="16">
        <f>+[2]tab1_ha!I8</f>
        <v>1.8616985384043439</v>
      </c>
      <c r="G30" s="16">
        <f>+[2]tab1_ha!J8</f>
        <v>2.5722843716951216</v>
      </c>
      <c r="H30" s="16">
        <f>+[2]tab1_ha!K8</f>
        <v>2.2517321223854525</v>
      </c>
      <c r="I30" s="16">
        <f>+[2]tab1_ha!L8</f>
        <v>2.3250337462083825</v>
      </c>
    </row>
    <row r="31" spans="1:9" x14ac:dyDescent="0.35">
      <c r="A31" s="39" t="s">
        <v>4</v>
      </c>
      <c r="B31" s="4">
        <f>+[2]tab1_ha!E9</f>
        <v>822.64012500000024</v>
      </c>
      <c r="C31" s="4">
        <f>+[2]tab1_ha!F9</f>
        <v>833.87500000000034</v>
      </c>
      <c r="D31" s="4">
        <f>+[2]tab1_ha!G9</f>
        <v>848.38107774194373</v>
      </c>
      <c r="E31" s="44">
        <f>+[2]tab1_ha!H9</f>
        <v>859.66980000000001</v>
      </c>
      <c r="F31" s="44">
        <f>+[2]tab1_ha!I9</f>
        <v>868.82505000000003</v>
      </c>
      <c r="G31" s="44">
        <f>+[2]tab1_ha!J9</f>
        <v>878.06475</v>
      </c>
      <c r="H31" s="44">
        <f>+[2]tab1_ha!K9</f>
        <v>886.6816</v>
      </c>
      <c r="I31" s="44">
        <f>+[2]tab1_ha!L9</f>
        <v>894.68560000000002</v>
      </c>
    </row>
    <row r="32" spans="1:9" x14ac:dyDescent="0.35">
      <c r="A32" s="39"/>
      <c r="B32" s="11">
        <f>+[2]tab1_ha!E10</f>
        <v>0.96808525164309156</v>
      </c>
      <c r="C32" s="11">
        <f>+[2]tab1_ha!F10</f>
        <v>1.365709580480301</v>
      </c>
      <c r="D32" s="11">
        <f>+[2]tab1_ha!G10</f>
        <v>1.7395985899497424</v>
      </c>
      <c r="E32" s="17">
        <f>+[2]tab1_ha!H10</f>
        <v>1.3306192882215573</v>
      </c>
      <c r="F32" s="17">
        <f>+[2]tab1_ha!I10</f>
        <v>1.0649728535305103</v>
      </c>
      <c r="G32" s="17">
        <f>+[2]tab1_ha!J10</f>
        <v>1.0634707182993752</v>
      </c>
      <c r="H32" s="17">
        <f>+[2]tab1_ha!K10</f>
        <v>0.98134562399867509</v>
      </c>
      <c r="I32" s="17">
        <f>+[2]tab1_ha!L10</f>
        <v>0.90269156369096049</v>
      </c>
    </row>
    <row r="33" spans="1:9" x14ac:dyDescent="0.35">
      <c r="A33" s="39" t="s">
        <v>20</v>
      </c>
      <c r="B33" s="4">
        <f>+[2]tab1_ha!E11</f>
        <v>4187</v>
      </c>
      <c r="C33" s="4">
        <f>+[2]tab1_ha!F11</f>
        <v>3530.0000000000005</v>
      </c>
      <c r="D33" s="4">
        <f>+[2]tab1_ha!G11</f>
        <v>3701</v>
      </c>
      <c r="E33" s="44">
        <f>+[2]tab1_ha!H11</f>
        <v>3334.1666666666665</v>
      </c>
      <c r="F33" s="44">
        <f>+[2]tab1_ha!I11</f>
        <v>4648.9997499999999</v>
      </c>
      <c r="G33" s="44">
        <f>+[2]tab1_ha!J11</f>
        <v>4734.9999999999991</v>
      </c>
      <c r="H33" s="44">
        <f>+[2]tab1_ha!K11</f>
        <v>4790</v>
      </c>
      <c r="I33" s="44">
        <f>+[2]tab1_ha!L11</f>
        <v>4970.0000000000009</v>
      </c>
    </row>
    <row r="34" spans="1:9" x14ac:dyDescent="0.35">
      <c r="A34" s="37" t="s">
        <v>5</v>
      </c>
      <c r="B34" s="4">
        <f>+[2]tab1_ha!E12</f>
        <v>13380.867230145177</v>
      </c>
      <c r="C34" s="4">
        <f>+[2]tab1_ha!F12</f>
        <v>14867.034748328311</v>
      </c>
      <c r="D34" s="4">
        <f>+[2]tab1_ha!G12</f>
        <v>14495.452276307376</v>
      </c>
      <c r="E34" s="44">
        <f>+[2]tab1_ha!H12</f>
        <v>15012.05</v>
      </c>
      <c r="F34" s="44">
        <f>+[2]tab1_ha!I12</f>
        <v>15522.914999999999</v>
      </c>
      <c r="G34" s="44">
        <f>+[2]tab1_ha!J12</f>
        <v>16039.807499999999</v>
      </c>
      <c r="H34" s="44">
        <f>+[2]tab1_ha!K12</f>
        <v>16604.545000000002</v>
      </c>
      <c r="I34" s="44">
        <f>+[2]tab1_ha!L12</f>
        <v>17189.47</v>
      </c>
    </row>
    <row r="35" spans="1:9" x14ac:dyDescent="0.35">
      <c r="A35" s="38"/>
      <c r="B35" s="38">
        <f>+[2]tab1_ha!E13</f>
        <v>9.1550174590936617</v>
      </c>
      <c r="C35" s="38">
        <f>+[2]tab1_ha!F13</f>
        <v>11.10666067170154</v>
      </c>
      <c r="D35" s="38">
        <f>+[2]tab1_ha!G13</f>
        <v>-2.4993717867156873</v>
      </c>
      <c r="E35" s="45">
        <f>+[2]tab1_ha!H13</f>
        <v>3.5638606774415438</v>
      </c>
      <c r="F35" s="45">
        <f>+[2]tab1_ha!I13</f>
        <v>3.4030328969061552</v>
      </c>
      <c r="G35" s="45">
        <f>+[2]tab1_ha!J13</f>
        <v>3.3298674894502778</v>
      </c>
      <c r="H35" s="45">
        <f>+[2]tab1_ha!K13</f>
        <v>3.5208496111939214</v>
      </c>
      <c r="I35" s="45">
        <f>+[2]tab1_ha!L13</f>
        <v>3.5226800854826212</v>
      </c>
    </row>
    <row r="36" spans="1:9" x14ac:dyDescent="0.35">
      <c r="A36" s="40" t="s">
        <v>21</v>
      </c>
      <c r="B36" s="46">
        <f>+[2]tab1_ha!E14</f>
        <v>1.4317500000000001</v>
      </c>
      <c r="C36" s="46">
        <f>+[2]tab1_ha!F14</f>
        <v>1.5290833333333331</v>
      </c>
      <c r="D36" s="46">
        <f>+[2]tab1_ha!G14</f>
        <v>1.586916666666667</v>
      </c>
      <c r="E36" s="47">
        <f>+[2]tab1_ha!H14</f>
        <v>1.6296553580089848</v>
      </c>
      <c r="F36" s="47">
        <f>+[2]tab1_ha!I14</f>
        <v>1.663953130863796</v>
      </c>
      <c r="G36" s="47">
        <f>+[2]tab1_ha!J14</f>
        <v>1.6974468491408548</v>
      </c>
      <c r="H36" s="47">
        <f>+[2]tab1_ha!K14</f>
        <v>1.7311737574553117</v>
      </c>
      <c r="I36" s="47">
        <f>+[2]tab1_ha!L14</f>
        <v>1.7656775957285404</v>
      </c>
    </row>
    <row r="37" spans="1:9" x14ac:dyDescent="0.35">
      <c r="A37" s="38"/>
      <c r="B37" s="38">
        <f>+[2]tab1_ha!E15</f>
        <v>3.4750662490966144</v>
      </c>
      <c r="C37" s="38">
        <f>+[2]tab1_ha!F15</f>
        <v>6.7982073220417716</v>
      </c>
      <c r="D37" s="38">
        <f>+[2]tab1_ha!G15</f>
        <v>3.7822224644395108</v>
      </c>
      <c r="E37" s="45">
        <f>+[2]tab1_ha!H15</f>
        <v>2.6931906532994487</v>
      </c>
      <c r="F37" s="45">
        <f>+[2]tab1_ha!I15</f>
        <v>2.104602834351077</v>
      </c>
      <c r="G37" s="45">
        <f>+[2]tab1_ha!J15</f>
        <v>2.0129003429123937</v>
      </c>
      <c r="H37" s="45">
        <f>+[2]tab1_ha!K15</f>
        <v>1.9869198456215154</v>
      </c>
      <c r="I37" s="45">
        <f>+[2]tab1_ha!L15</f>
        <v>1.9930892623942542</v>
      </c>
    </row>
    <row r="39" spans="1:9" x14ac:dyDescent="0.35">
      <c r="A39" s="5" t="s">
        <v>22</v>
      </c>
    </row>
    <row r="40" spans="1:9" x14ac:dyDescent="0.35">
      <c r="A40" s="5"/>
    </row>
    <row r="41" spans="1:9" x14ac:dyDescent="0.35">
      <c r="A41" s="5"/>
    </row>
    <row r="44" spans="1:9" x14ac:dyDescent="0.35">
      <c r="A44" s="7" t="s">
        <v>8</v>
      </c>
    </row>
    <row r="45" spans="1:9" x14ac:dyDescent="0.35">
      <c r="A45" s="1" t="s">
        <v>23</v>
      </c>
    </row>
    <row r="46" spans="1:9" x14ac:dyDescent="0.35">
      <c r="A46" s="12"/>
      <c r="B46" t="str">
        <f>_xlfn.CONCAT(E23, " (annual growth rate)")</f>
        <v>2024 (annual growth rate)</v>
      </c>
      <c r="F46" t="str">
        <f>_xlfn.CONCAT(F23,"-",RIGHT(I23,2), " (average annual compound growth rate)")</f>
        <v>2025-28 (average annual compound growth rate)</v>
      </c>
    </row>
    <row r="47" spans="1:9" x14ac:dyDescent="0.35">
      <c r="A47" t="s">
        <v>60</v>
      </c>
      <c r="B47" s="2">
        <f>[7]TAB3_ha!B2</f>
        <v>11.909960411952603</v>
      </c>
      <c r="F47" s="2">
        <f>[7]TAB3_ha!C2</f>
        <v>-0.9213107671316112</v>
      </c>
    </row>
    <row r="48" spans="1:9" x14ac:dyDescent="0.35">
      <c r="A48" t="s">
        <v>107</v>
      </c>
      <c r="B48" s="2">
        <f>[7]TAB3_ha!B3</f>
        <v>3.6521065604832925</v>
      </c>
      <c r="F48" s="2">
        <f>[7]TAB3_ha!C3</f>
        <v>1.7481906011047155</v>
      </c>
    </row>
    <row r="49" spans="1:6" x14ac:dyDescent="0.35">
      <c r="A49" t="s">
        <v>108</v>
      </c>
      <c r="B49" s="2">
        <f>[7]TAB3_ha!B4</f>
        <v>5.0035685333702284</v>
      </c>
      <c r="F49" s="2">
        <f>[7]TAB3_ha!C4</f>
        <v>1.7339593316186175</v>
      </c>
    </row>
    <row r="50" spans="1:6" x14ac:dyDescent="0.35">
      <c r="A50" t="s">
        <v>61</v>
      </c>
      <c r="B50" s="2">
        <f>[7]TAB3_ha!B5</f>
        <v>5.7425134331044569</v>
      </c>
      <c r="F50" s="2">
        <f>[7]TAB3_ha!C5</f>
        <v>0.59312128182640311</v>
      </c>
    </row>
    <row r="51" spans="1:6" x14ac:dyDescent="0.35">
      <c r="A51" t="s">
        <v>62</v>
      </c>
      <c r="B51" s="2">
        <f>[7]TAB3_ha!B6</f>
        <v>1.496525637010282</v>
      </c>
      <c r="F51" s="2">
        <f>[7]TAB3_ha!C6</f>
        <v>0.17553536146952542</v>
      </c>
    </row>
    <row r="52" spans="1:6" x14ac:dyDescent="0.35">
      <c r="A52" t="s">
        <v>63</v>
      </c>
      <c r="B52" s="2">
        <f>[7]TAB3_ha!B7</f>
        <v>8.072134715914947</v>
      </c>
      <c r="F52" s="2">
        <f>[7]TAB3_ha!C7</f>
        <v>2.1661520230319198</v>
      </c>
    </row>
    <row r="53" spans="1:6" x14ac:dyDescent="0.35">
      <c r="A53" t="s">
        <v>64</v>
      </c>
      <c r="B53" s="2">
        <f>[7]TAB3_ha!B8</f>
        <v>-3.1581975551867258</v>
      </c>
      <c r="F53" s="2">
        <f>[7]TAB3_ha!C8</f>
        <v>0.48748309718835703</v>
      </c>
    </row>
    <row r="54" spans="1:6" x14ac:dyDescent="0.35">
      <c r="A54" t="s">
        <v>109</v>
      </c>
      <c r="B54" s="2">
        <f>[7]TAB3_ha!B9</f>
        <v>12.990284821657315</v>
      </c>
      <c r="F54" s="2">
        <f>[7]TAB3_ha!C9</f>
        <v>2.0899400476560359</v>
      </c>
    </row>
    <row r="55" spans="1:6" x14ac:dyDescent="0.35">
      <c r="A55" t="s">
        <v>13</v>
      </c>
      <c r="B55" s="2">
        <f>[7]TAB3_ha!B10</f>
        <v>-8.4027975720417878</v>
      </c>
      <c r="F55" s="2">
        <f>[7]TAB3_ha!C10</f>
        <v>1.3114745275437212</v>
      </c>
    </row>
    <row r="56" spans="1:6" x14ac:dyDescent="0.35">
      <c r="A56" t="s">
        <v>12</v>
      </c>
      <c r="B56" s="2">
        <f>[7]TAB3_ha!B11</f>
        <v>1.7670390049510987</v>
      </c>
      <c r="F56" s="2">
        <f>[7]TAB3_ha!C11</f>
        <v>1.2519002721887995</v>
      </c>
    </row>
    <row r="57" spans="1:6" x14ac:dyDescent="0.35">
      <c r="B57" s="2"/>
      <c r="F57" s="2"/>
    </row>
    <row r="58" spans="1:6" x14ac:dyDescent="0.35">
      <c r="A58" t="s">
        <v>101</v>
      </c>
      <c r="B58" s="2"/>
      <c r="F58" s="2"/>
    </row>
    <row r="59" spans="1:6" x14ac:dyDescent="0.35">
      <c r="A59" t="s">
        <v>102</v>
      </c>
    </row>
    <row r="60" spans="1:6" x14ac:dyDescent="0.35">
      <c r="A60" t="s">
        <v>26</v>
      </c>
    </row>
    <row r="63" spans="1:6" x14ac:dyDescent="0.35">
      <c r="A63" s="7" t="s">
        <v>11</v>
      </c>
    </row>
    <row r="64" spans="1:6" x14ac:dyDescent="0.35">
      <c r="A64" s="1" t="s">
        <v>25</v>
      </c>
    </row>
    <row r="65" spans="1:6" x14ac:dyDescent="0.35">
      <c r="A65" s="12"/>
      <c r="B65" t="str">
        <f>_xlfn.CONCAT(E23, " (annual growth rate)")</f>
        <v>2024 (annual growth rate)</v>
      </c>
      <c r="F65" t="str">
        <f>_xlfn.CONCAT(F23,"-",RIGHT(I23,2), " (average annual compound growth rate)")</f>
        <v>2025-28 (average annual compound growth rate)</v>
      </c>
    </row>
    <row r="66" spans="1:6" x14ac:dyDescent="0.35">
      <c r="A66" t="s">
        <v>60</v>
      </c>
      <c r="B66" s="2">
        <f>[8]TAB4_ha!B2</f>
        <v>-1.8002704009856263E-2</v>
      </c>
      <c r="F66" s="2">
        <f>[8]TAB4_ha!C2</f>
        <v>0.699974114472246</v>
      </c>
    </row>
    <row r="67" spans="1:6" x14ac:dyDescent="0.35">
      <c r="A67" t="s">
        <v>107</v>
      </c>
      <c r="B67" s="2">
        <f>[8]TAB4_ha!B3</f>
        <v>1.7609323455636927</v>
      </c>
      <c r="F67" s="2">
        <f>[8]TAB4_ha!C3</f>
        <v>2.3438512080365514</v>
      </c>
    </row>
    <row r="68" spans="1:6" x14ac:dyDescent="0.35">
      <c r="A68" t="s">
        <v>108</v>
      </c>
      <c r="B68" s="2">
        <f>[8]TAB4_ha!B4</f>
        <v>0.45992399399461537</v>
      </c>
      <c r="F68" s="2">
        <f>[8]TAB4_ha!C4</f>
        <v>2.2248938175840616</v>
      </c>
    </row>
    <row r="69" spans="1:6" x14ac:dyDescent="0.35">
      <c r="A69" t="s">
        <v>61</v>
      </c>
      <c r="B69" s="2">
        <f>[8]TAB4_ha!B5</f>
        <v>0.45454957252817341</v>
      </c>
      <c r="F69" s="2">
        <f>[8]TAB4_ha!C5</f>
        <v>2.5174791208375291</v>
      </c>
    </row>
    <row r="70" spans="1:6" x14ac:dyDescent="0.35">
      <c r="A70" t="s">
        <v>62</v>
      </c>
      <c r="B70" s="2">
        <f>[8]TAB4_ha!B6</f>
        <v>1.5160392006512424</v>
      </c>
      <c r="F70" s="2">
        <f>[8]TAB4_ha!C6</f>
        <v>1.9243284209925493</v>
      </c>
    </row>
    <row r="71" spans="1:6" x14ac:dyDescent="0.35">
      <c r="A71" t="s">
        <v>63</v>
      </c>
      <c r="B71" s="2">
        <f>[8]TAB4_ha!B7</f>
        <v>1.6093058722981946</v>
      </c>
      <c r="F71" s="2">
        <f>[8]TAB4_ha!C7</f>
        <v>3.2246794244313204</v>
      </c>
    </row>
    <row r="72" spans="1:6" x14ac:dyDescent="0.35">
      <c r="A72" t="s">
        <v>64</v>
      </c>
      <c r="B72" s="2">
        <f>[8]TAB4_ha!B8</f>
        <v>-0.99834142180063035</v>
      </c>
      <c r="F72" s="2">
        <f>[8]TAB4_ha!C8</f>
        <v>2.6016515392634831</v>
      </c>
    </row>
    <row r="73" spans="1:6" x14ac:dyDescent="0.35">
      <c r="A73" t="s">
        <v>109</v>
      </c>
      <c r="B73" s="2">
        <f>[8]TAB4_ha!B9</f>
        <v>1.3500702770403938</v>
      </c>
      <c r="F73" s="2">
        <f>[8]TAB4_ha!C9</f>
        <v>2.7568443443872326</v>
      </c>
    </row>
    <row r="74" spans="1:6" x14ac:dyDescent="0.35">
      <c r="A74" t="s">
        <v>13</v>
      </c>
      <c r="B74" s="2">
        <f>[8]TAB4_ha!B10</f>
        <v>-0.74773745170386707</v>
      </c>
      <c r="F74" s="2">
        <f>[8]TAB4_ha!C10</f>
        <v>3.0702562038396497</v>
      </c>
    </row>
    <row r="75" spans="1:6" x14ac:dyDescent="0.35">
      <c r="A75" t="s">
        <v>12</v>
      </c>
      <c r="B75" s="2">
        <f>[8]TAB4_ha!B11</f>
        <v>0.31663546173790191</v>
      </c>
      <c r="F75" s="2">
        <f>[8]TAB4_ha!C11</f>
        <v>2.5171727159492452</v>
      </c>
    </row>
    <row r="76" spans="1:6" x14ac:dyDescent="0.35">
      <c r="B76" s="2"/>
      <c r="F76" s="2"/>
    </row>
    <row r="77" spans="1:6" x14ac:dyDescent="0.35">
      <c r="A77" t="s">
        <v>101</v>
      </c>
      <c r="B77" s="2"/>
      <c r="F77" s="2"/>
    </row>
    <row r="78" spans="1:6" x14ac:dyDescent="0.35">
      <c r="A78" t="s">
        <v>102</v>
      </c>
      <c r="B78" s="14"/>
      <c r="F78" s="2"/>
    </row>
    <row r="79" spans="1:6" x14ac:dyDescent="0.35">
      <c r="A79" t="s">
        <v>26</v>
      </c>
    </row>
    <row r="82" spans="1:9" x14ac:dyDescent="0.35">
      <c r="A82" s="7" t="s">
        <v>27</v>
      </c>
    </row>
    <row r="83" spans="1:9" x14ac:dyDescent="0.35">
      <c r="A83" s="1" t="s">
        <v>28</v>
      </c>
    </row>
    <row r="84" spans="1:9" x14ac:dyDescent="0.35">
      <c r="A84" t="s">
        <v>29</v>
      </c>
    </row>
    <row r="85" spans="1:9" s="1" customFormat="1" x14ac:dyDescent="0.35">
      <c r="B85" s="1" t="str">
        <f>+[9]tab14_ha!B1</f>
        <v>2021</v>
      </c>
      <c r="C85" s="1" t="str">
        <f>+[9]tab14_ha!C1</f>
        <v>2022</v>
      </c>
      <c r="D85" s="1" t="str">
        <f>+[9]tab14_ha!D1</f>
        <v>2023</v>
      </c>
      <c r="E85" s="27" t="str">
        <f>+[9]tab14_ha!E1</f>
        <v>2024</v>
      </c>
      <c r="F85" s="27" t="str">
        <f>+[9]tab14_ha!F1</f>
        <v>2025</v>
      </c>
      <c r="G85" s="27" t="str">
        <f>+[9]tab14_ha!G1</f>
        <v>2026</v>
      </c>
      <c r="H85" s="27" t="str">
        <f>+[9]tab14_ha!H1</f>
        <v>2027</v>
      </c>
      <c r="I85" s="27" t="str">
        <f>+[9]tab14_ha!I1</f>
        <v>2028</v>
      </c>
    </row>
    <row r="86" spans="1:9" x14ac:dyDescent="0.35">
      <c r="A86" t="s">
        <v>65</v>
      </c>
      <c r="B86" s="2">
        <f>+[9]tab14_ha!B2</f>
        <v>409.65</v>
      </c>
      <c r="C86" s="2">
        <f>+[9]tab14_ha!C2</f>
        <v>418.59999999999997</v>
      </c>
      <c r="D86" s="2">
        <f>+[9]tab14_ha!D2</f>
        <v>414.05</v>
      </c>
      <c r="E86" s="15">
        <f>+[9]tab14_ha!E2</f>
        <v>421.36642499999999</v>
      </c>
      <c r="F86" s="15">
        <f>+[9]tab14_ha!F2</f>
        <v>425.04854999999998</v>
      </c>
      <c r="G86" s="15">
        <f>+[9]tab14_ha!G2</f>
        <v>433.23467499999998</v>
      </c>
      <c r="H86" s="15">
        <f>+[9]tab14_ha!H2</f>
        <v>438.34642500000001</v>
      </c>
      <c r="I86" s="15">
        <f>+[9]tab14_ha!I2</f>
        <v>442.86632500000002</v>
      </c>
    </row>
    <row r="87" spans="1:9" x14ac:dyDescent="0.35">
      <c r="B87" s="11">
        <f>+[9]tab14_ha!B3</f>
        <v>6.6588556922476005</v>
      </c>
      <c r="C87" s="11">
        <f>+[9]tab14_ha!C3</f>
        <v>2.1847918955205659</v>
      </c>
      <c r="D87" s="11">
        <f>+[9]tab14_ha!D3</f>
        <v>-1.0869565217391242</v>
      </c>
      <c r="E87" s="17">
        <f>+[9]tab14_ha!E3</f>
        <v>1.7670390049510987</v>
      </c>
      <c r="F87" s="17">
        <f>+[9]tab14_ha!F3</f>
        <v>0.87385344003143572</v>
      </c>
      <c r="G87" s="17">
        <f>+[9]tab14_ha!G3</f>
        <v>1.9259270499805359</v>
      </c>
      <c r="H87" s="17">
        <f>+[9]tab14_ha!H3</f>
        <v>1.1799032475874771</v>
      </c>
      <c r="I87" s="17">
        <f>+[9]tab14_ha!I3</f>
        <v>1.0311250970051811</v>
      </c>
    </row>
    <row r="88" spans="1:9" x14ac:dyDescent="0.35">
      <c r="A88" s="41" t="s">
        <v>30</v>
      </c>
      <c r="B88" s="2">
        <f>+[9]tab14_ha!B4</f>
        <v>42.606695940851019</v>
      </c>
      <c r="C88" s="2">
        <f>+[9]tab14_ha!C4</f>
        <v>47.052865638193808</v>
      </c>
      <c r="D88" s="2">
        <f>+[9]tab14_ha!D4</f>
        <v>48.139348806456496</v>
      </c>
      <c r="E88" s="15">
        <f>+[9]tab14_ha!E4</f>
        <v>44.183392499999997</v>
      </c>
      <c r="F88" s="15">
        <f>+[9]tab14_ha!F4</f>
        <v>46.106557500000001</v>
      </c>
      <c r="G88" s="15">
        <f>+[9]tab14_ha!G4</f>
        <v>46.337222500000003</v>
      </c>
      <c r="H88" s="15">
        <f>+[9]tab14_ha!H4</f>
        <v>46.138472499999999</v>
      </c>
      <c r="I88" s="15">
        <f>+[9]tab14_ha!I4</f>
        <v>45.848714999999999</v>
      </c>
    </row>
    <row r="89" spans="1:9" x14ac:dyDescent="0.35">
      <c r="B89" s="11">
        <f>+[9]tab14_ha!B5</f>
        <v>-5.7451596561945202</v>
      </c>
      <c r="C89" s="11">
        <f>+[9]tab14_ha!C5</f>
        <v>10.435377818348579</v>
      </c>
      <c r="D89" s="11">
        <f>+[9]tab14_ha!D5</f>
        <v>2.3090690726831564</v>
      </c>
      <c r="E89" s="17">
        <f>+[9]tab14_ha!E5</f>
        <v>-8.2177187779613696</v>
      </c>
      <c r="F89" s="17">
        <f>+[9]tab14_ha!F5</f>
        <v>4.3526874945150507</v>
      </c>
      <c r="G89" s="17">
        <f>+[9]tab14_ha!G5</f>
        <v>0.5002867542214684</v>
      </c>
      <c r="H89" s="17">
        <f>+[9]tab14_ha!H5</f>
        <v>-0.42892083141151671</v>
      </c>
      <c r="I89" s="17">
        <f>+[9]tab14_ha!I5</f>
        <v>-0.62801710654811771</v>
      </c>
    </row>
    <row r="90" spans="1:9" x14ac:dyDescent="0.35">
      <c r="A90" s="41" t="s">
        <v>110</v>
      </c>
      <c r="B90" s="2">
        <f>+[9]tab14_ha!B6</f>
        <v>30.737665310610637</v>
      </c>
      <c r="C90" s="2">
        <f>+[9]tab14_ha!C6</f>
        <v>30.676112107366269</v>
      </c>
      <c r="D90" s="2">
        <f>+[9]tab14_ha!D6</f>
        <v>35.173751480194447</v>
      </c>
      <c r="E90" s="15">
        <f>+[9]tab14_ha!E6</f>
        <v>31.980630000000001</v>
      </c>
      <c r="F90" s="15">
        <f>+[9]tab14_ha!F6</f>
        <v>32.887754999999999</v>
      </c>
      <c r="G90" s="15">
        <f>+[9]tab14_ha!G6</f>
        <v>33.288645000000002</v>
      </c>
      <c r="H90" s="15">
        <f>+[9]tab14_ha!H6</f>
        <v>34.163460000000001</v>
      </c>
      <c r="I90" s="15">
        <f>+[9]tab14_ha!I6</f>
        <v>34.959764999999997</v>
      </c>
    </row>
    <row r="91" spans="1:9" x14ac:dyDescent="0.35">
      <c r="A91" s="18"/>
      <c r="B91" s="11">
        <f>+[9]tab14_ha!B7</f>
        <v>-21.960540311881637</v>
      </c>
      <c r="C91" s="11">
        <f>+[9]tab14_ha!C7</f>
        <v>-0.20025334592709276</v>
      </c>
      <c r="D91" s="11">
        <f>+[9]tab14_ha!D7</f>
        <v>14.661699491403791</v>
      </c>
      <c r="E91" s="17">
        <f>+[9]tab14_ha!E7</f>
        <v>-9.0781373775055574</v>
      </c>
      <c r="F91" s="17">
        <f>+[9]tab14_ha!F7</f>
        <v>2.8364825833637308</v>
      </c>
      <c r="G91" s="17">
        <f>+[9]tab14_ha!G7</f>
        <v>1.2189643227395797</v>
      </c>
      <c r="H91" s="17">
        <f>+[9]tab14_ha!H7</f>
        <v>2.6279681855479575</v>
      </c>
      <c r="I91" s="17">
        <f>+[9]tab14_ha!I7</f>
        <v>2.3308675409340784</v>
      </c>
    </row>
    <row r="92" spans="1:9" x14ac:dyDescent="0.35">
      <c r="A92" s="41" t="s">
        <v>66</v>
      </c>
      <c r="B92" s="2">
        <f>+[9]tab14_ha!B8</f>
        <v>5.6878657201339804</v>
      </c>
      <c r="C92" s="2">
        <f>+[9]tab14_ha!C8</f>
        <v>4.5738609254739133</v>
      </c>
      <c r="D92" s="2">
        <f>+[9]tab14_ha!D8</f>
        <v>5.6976777053133372</v>
      </c>
      <c r="E92" s="15">
        <f>+[9]tab14_ha!E8</f>
        <v>5.3673595000000001</v>
      </c>
      <c r="F92" s="15">
        <f>+[9]tab14_ha!F8</f>
        <v>5.091602</v>
      </c>
      <c r="G92" s="15">
        <f>+[9]tab14_ha!G8</f>
        <v>5.1929835000000004</v>
      </c>
      <c r="H92" s="15">
        <f>+[9]tab14_ha!H8</f>
        <v>5.1537509999999997</v>
      </c>
      <c r="I92" s="15">
        <f>+[9]tab14_ha!I8</f>
        <v>5.0848364999999998</v>
      </c>
    </row>
    <row r="93" spans="1:9" x14ac:dyDescent="0.35">
      <c r="A93" s="18"/>
      <c r="B93" s="11">
        <f>+[9]tab14_ha!B9</f>
        <v>39.799932040910235</v>
      </c>
      <c r="C93" s="11">
        <f>+[9]tab14_ha!C9</f>
        <v>-19.58563808418856</v>
      </c>
      <c r="D93" s="11">
        <f>+[9]tab14_ha!D9</f>
        <v>24.570418693327056</v>
      </c>
      <c r="E93" s="17">
        <f>+[9]tab14_ha!E9</f>
        <v>-5.7974182183962553</v>
      </c>
      <c r="F93" s="17">
        <f>+[9]tab14_ha!F9</f>
        <v>-5.1376752386345643</v>
      </c>
      <c r="G93" s="17">
        <f>+[9]tab14_ha!G9</f>
        <v>1.9911513115125734</v>
      </c>
      <c r="H93" s="17">
        <f>+[9]tab14_ha!H9</f>
        <v>-0.75549055759566164</v>
      </c>
      <c r="I93" s="17">
        <f>+[9]tab14_ha!I9</f>
        <v>-1.337171702707407</v>
      </c>
    </row>
    <row r="94" spans="1:9" x14ac:dyDescent="0.35">
      <c r="A94" s="41" t="s">
        <v>15</v>
      </c>
      <c r="B94" s="2">
        <f>+[9]tab14_ha!B10</f>
        <v>65.489811614528179</v>
      </c>
      <c r="C94" s="2">
        <f>+[9]tab14_ha!C10</f>
        <v>71.049667653799759</v>
      </c>
      <c r="D94" s="2">
        <f>+[9]tab14_ha!D10</f>
        <v>65.485398246422818</v>
      </c>
      <c r="E94" s="15">
        <f>+[9]tab14_ha!E10</f>
        <v>63.41724</v>
      </c>
      <c r="F94" s="15">
        <f>+[9]tab14_ha!F10</f>
        <v>66.330937500000005</v>
      </c>
      <c r="G94" s="15">
        <f>+[9]tab14_ha!G10</f>
        <v>65.228700000000003</v>
      </c>
      <c r="H94" s="15">
        <f>+[9]tab14_ha!H10</f>
        <v>65.038702499999999</v>
      </c>
      <c r="I94" s="15">
        <f>+[9]tab14_ha!I10</f>
        <v>64.662904999999995</v>
      </c>
    </row>
    <row r="95" spans="1:9" x14ac:dyDescent="0.35">
      <c r="A95" s="18"/>
      <c r="B95" s="11">
        <f>+[9]tab14_ha!B11</f>
        <v>5.5880734345846728</v>
      </c>
      <c r="C95" s="11">
        <f>+[9]tab14_ha!C11</f>
        <v>8.4896503779806167</v>
      </c>
      <c r="D95" s="11">
        <f>+[9]tab14_ha!D11</f>
        <v>-7.8315206687379346</v>
      </c>
      <c r="E95" s="17">
        <f>+[9]tab14_ha!E11</f>
        <v>-3.1581975551867258</v>
      </c>
      <c r="F95" s="17">
        <f>+[9]tab14_ha!F11</f>
        <v>4.5944880288073087</v>
      </c>
      <c r="G95" s="17">
        <f>+[9]tab14_ha!G11</f>
        <v>-1.6617245911834111</v>
      </c>
      <c r="H95" s="17">
        <f>+[9]tab14_ha!H11</f>
        <v>-0.29127899222275433</v>
      </c>
      <c r="I95" s="17">
        <f>+[9]tab14_ha!I11</f>
        <v>-0.57780596099684667</v>
      </c>
    </row>
    <row r="96" spans="1:9" x14ac:dyDescent="0.35">
      <c r="A96" s="41" t="s">
        <v>16</v>
      </c>
      <c r="B96" s="2">
        <f>+[9]tab14_ha!B12</f>
        <v>15.447187664125527</v>
      </c>
      <c r="C96" s="2">
        <f>+[9]tab14_ha!C12</f>
        <v>17.588048957549262</v>
      </c>
      <c r="D96" s="2">
        <f>+[9]tab14_ha!D12</f>
        <v>17.244972581498821</v>
      </c>
      <c r="E96" s="15">
        <f>+[9]tab14_ha!E12</f>
        <v>18.63701</v>
      </c>
      <c r="F96" s="15">
        <f>+[9]tab14_ha!F12</f>
        <v>18.468264999999999</v>
      </c>
      <c r="G96" s="15">
        <f>+[9]tab14_ha!G12</f>
        <v>19.533245000000001</v>
      </c>
      <c r="H96" s="15">
        <f>+[9]tab14_ha!H12</f>
        <v>19.982602499999999</v>
      </c>
      <c r="I96" s="15">
        <f>+[9]tab14_ha!I12</f>
        <v>20.305064999999999</v>
      </c>
    </row>
    <row r="97" spans="1:9" x14ac:dyDescent="0.35">
      <c r="B97" s="11">
        <f>+[9]tab14_ha!B13</f>
        <v>-9.351392647618006</v>
      </c>
      <c r="C97" s="11">
        <f>+[9]tab14_ha!C13</f>
        <v>13.859230171687887</v>
      </c>
      <c r="D97" s="11">
        <f>+[9]tab14_ha!D13</f>
        <v>-1.9506221348285613</v>
      </c>
      <c r="E97" s="17">
        <f>+[9]tab14_ha!E13</f>
        <v>8.072134715914947</v>
      </c>
      <c r="F97" s="17">
        <f>+[9]tab14_ha!F13</f>
        <v>-0.90542957266214197</v>
      </c>
      <c r="G97" s="17">
        <f>+[9]tab14_ha!G13</f>
        <v>5.7665406035705136</v>
      </c>
      <c r="H97" s="17">
        <f>+[9]tab14_ha!H13</f>
        <v>2.3004754202386568</v>
      </c>
      <c r="I97" s="17">
        <f>+[9]tab14_ha!I13</f>
        <v>1.6137162314068032</v>
      </c>
    </row>
    <row r="98" spans="1:9" x14ac:dyDescent="0.35">
      <c r="A98" s="41" t="s">
        <v>67</v>
      </c>
      <c r="B98" s="2">
        <f>+[9]tab14_ha!B14</f>
        <v>9.7968330369509538</v>
      </c>
      <c r="C98" s="2">
        <f>+[9]tab14_ha!C14</f>
        <v>7.0523098582432127</v>
      </c>
      <c r="D98" s="2">
        <f>+[9]tab14_ha!D14</f>
        <v>9.1114719858231457</v>
      </c>
      <c r="E98" s="15">
        <f>+[9]tab14_ha!E14</f>
        <v>9.2478274999999996</v>
      </c>
      <c r="F98" s="15">
        <f>+[9]tab14_ha!F14</f>
        <v>8.9100894999999998</v>
      </c>
      <c r="G98" s="15">
        <f>+[9]tab14_ha!G14</f>
        <v>9.1174272500000004</v>
      </c>
      <c r="H98" s="15">
        <f>+[9]tab14_ha!H14</f>
        <v>9.2113637500000003</v>
      </c>
      <c r="I98" s="15">
        <f>+[9]tab14_ha!I14</f>
        <v>9.3129314999999995</v>
      </c>
    </row>
    <row r="99" spans="1:9" x14ac:dyDescent="0.35">
      <c r="A99" s="18"/>
      <c r="B99" s="11">
        <f>+[9]tab14_ha!B15</f>
        <v>38.923131316418335</v>
      </c>
      <c r="C99" s="11">
        <f>+[9]tab14_ha!C15</f>
        <v>-28.014391674903059</v>
      </c>
      <c r="D99" s="11">
        <f>+[9]tab14_ha!D15</f>
        <v>29.19840689037574</v>
      </c>
      <c r="E99" s="17">
        <f>+[9]tab14_ha!E15</f>
        <v>1.496525637010282</v>
      </c>
      <c r="F99" s="17">
        <f>+[9]tab14_ha!F15</f>
        <v>-3.6520793667485729</v>
      </c>
      <c r="G99" s="17">
        <f>+[9]tab14_ha!G15</f>
        <v>2.3269996333931342</v>
      </c>
      <c r="H99" s="17">
        <f>+[9]tab14_ha!H15</f>
        <v>1.0302961287681267</v>
      </c>
      <c r="I99" s="17">
        <f>+[9]tab14_ha!I15</f>
        <v>1.1026353182502335</v>
      </c>
    </row>
    <row r="100" spans="1:9" x14ac:dyDescent="0.35">
      <c r="A100" s="41" t="s">
        <v>92</v>
      </c>
      <c r="B100" s="2">
        <f>+[9]tab14_ha!B16</f>
        <v>46.458758890954833</v>
      </c>
      <c r="C100" s="2">
        <f>+[9]tab14_ha!C16</f>
        <v>47.046960418561163</v>
      </c>
      <c r="D100" s="2">
        <f>+[9]tab14_ha!D16</f>
        <v>45.569999175860609</v>
      </c>
      <c r="E100" s="15">
        <f>+[9]tab14_ha!E16</f>
        <v>48.186862499999997</v>
      </c>
      <c r="F100" s="15">
        <f>+[9]tab14_ha!F16</f>
        <v>47.709962500000003</v>
      </c>
      <c r="G100" s="15">
        <f>+[9]tab14_ha!G16</f>
        <v>48.556892500000004</v>
      </c>
      <c r="H100" s="15">
        <f>+[9]tab14_ha!H16</f>
        <v>48.967395000000003</v>
      </c>
      <c r="I100" s="15">
        <f>+[9]tab14_ha!I16</f>
        <v>49.340299999999999</v>
      </c>
    </row>
    <row r="101" spans="1:9" x14ac:dyDescent="0.35">
      <c r="A101" s="41" t="s">
        <v>93</v>
      </c>
      <c r="B101" s="11">
        <f>+[9]tab14_ha!B17</f>
        <v>7.1465880293159145</v>
      </c>
      <c r="C101" s="11">
        <f>+[9]tab14_ha!C17</f>
        <v>1.2660724084061714</v>
      </c>
      <c r="D101" s="11">
        <f>+[9]tab14_ha!D17</f>
        <v>-3.1393340389273217</v>
      </c>
      <c r="E101" s="17">
        <f>+[9]tab14_ha!E17</f>
        <v>5.7425134331044569</v>
      </c>
      <c r="F101" s="17">
        <f>+[9]tab14_ha!F17</f>
        <v>-0.98968883894441362</v>
      </c>
      <c r="G101" s="17">
        <f>+[9]tab14_ha!G17</f>
        <v>1.7751638350166354</v>
      </c>
      <c r="H101" s="17">
        <f>+[9]tab14_ha!H17</f>
        <v>0.84540521204070629</v>
      </c>
      <c r="I101" s="17">
        <f>+[9]tab14_ha!I17</f>
        <v>0.76153734541115625</v>
      </c>
    </row>
    <row r="102" spans="1:9" x14ac:dyDescent="0.35">
      <c r="A102" s="41" t="s">
        <v>94</v>
      </c>
      <c r="B102" s="2">
        <f>+[9]tab14_ha!B18</f>
        <v>36.408858339297126</v>
      </c>
      <c r="C102" s="2">
        <f>+[9]tab14_ha!C18</f>
        <v>39.334923870425051</v>
      </c>
      <c r="D102" s="2">
        <f>+[9]tab14_ha!D18</f>
        <v>37.633625744292274</v>
      </c>
      <c r="E102" s="15">
        <f>+[9]tab14_ha!E18</f>
        <v>39.516649999999998</v>
      </c>
      <c r="F102" s="15">
        <f>+[9]tab14_ha!F18</f>
        <v>39.017317500000004</v>
      </c>
      <c r="G102" s="15">
        <f>+[9]tab14_ha!G18</f>
        <v>40.870010000000001</v>
      </c>
      <c r="H102" s="15">
        <f>+[9]tab14_ha!H18</f>
        <v>41.598669999999998</v>
      </c>
      <c r="I102" s="15">
        <f>+[9]tab14_ha!I18</f>
        <v>42.329574999999998</v>
      </c>
    </row>
    <row r="103" spans="1:9" x14ac:dyDescent="0.35">
      <c r="A103" s="41"/>
      <c r="B103" s="11">
        <f>+[9]tab14_ha!B19</f>
        <v>49.441428074341573</v>
      </c>
      <c r="C103" s="11">
        <f>+[9]tab14_ha!C19</f>
        <v>8.0366857533946234</v>
      </c>
      <c r="D103" s="11">
        <f>+[9]tab14_ha!D19</f>
        <v>-4.3251593208546657</v>
      </c>
      <c r="E103" s="17">
        <f>+[9]tab14_ha!E19</f>
        <v>5.0035685333702284</v>
      </c>
      <c r="F103" s="17">
        <f>+[9]tab14_ha!F19</f>
        <v>-1.2636002798820045</v>
      </c>
      <c r="G103" s="17">
        <f>+[9]tab14_ha!G19</f>
        <v>4.7483851241182817</v>
      </c>
      <c r="H103" s="17">
        <f>+[9]tab14_ha!H19</f>
        <v>1.7828720864027092</v>
      </c>
      <c r="I103" s="17">
        <f>+[9]tab14_ha!I19</f>
        <v>1.7570393476522117</v>
      </c>
    </row>
    <row r="104" spans="1:9" x14ac:dyDescent="0.35">
      <c r="A104" s="41" t="s">
        <v>95</v>
      </c>
      <c r="B104" s="2">
        <f>+[9]tab14_ha!B20</f>
        <v>31.063835838454178</v>
      </c>
      <c r="C104" s="2">
        <f>+[9]tab14_ha!C20</f>
        <v>36.15329456379591</v>
      </c>
      <c r="D104" s="2">
        <f>+[9]tab14_ha!D20</f>
        <v>33.321068758072329</v>
      </c>
      <c r="E104" s="15">
        <f>+[9]tab14_ha!E20</f>
        <v>35.202617500000002</v>
      </c>
      <c r="F104" s="15">
        <f>+[9]tab14_ha!F20</f>
        <v>34.503569999999996</v>
      </c>
      <c r="G104" s="15">
        <f>+[9]tab14_ha!G20</f>
        <v>34.850254999999997</v>
      </c>
      <c r="H104" s="15">
        <f>+[9]tab14_ha!H20</f>
        <v>34.848840000000003</v>
      </c>
      <c r="I104" s="15">
        <f>+[9]tab14_ha!I20</f>
        <v>34.802424999999999</v>
      </c>
    </row>
    <row r="105" spans="1:9" x14ac:dyDescent="0.35">
      <c r="A105" s="41"/>
      <c r="B105" s="11">
        <f>+[9]tab14_ha!B21</f>
        <v>1.1060280825104574</v>
      </c>
      <c r="C105" s="11">
        <f>+[9]tab14_ha!C21</f>
        <v>16.383870787269128</v>
      </c>
      <c r="D105" s="11">
        <f>+[9]tab14_ha!D21</f>
        <v>-7.8339355787502285</v>
      </c>
      <c r="E105" s="17">
        <f>+[9]tab14_ha!E21</f>
        <v>5.6467238658779451</v>
      </c>
      <c r="F105" s="17">
        <f>+[9]tab14_ha!F21</f>
        <v>-1.9857827333436329</v>
      </c>
      <c r="G105" s="17">
        <f>+[9]tab14_ha!G21</f>
        <v>1.004780085075252</v>
      </c>
      <c r="H105" s="17">
        <f>+[9]tab14_ha!H21</f>
        <v>-4.0602285406365901E-3</v>
      </c>
      <c r="I105" s="17">
        <f>+[9]tab14_ha!I21</f>
        <v>-0.13318951219036812</v>
      </c>
    </row>
    <row r="106" spans="1:9" x14ac:dyDescent="0.35">
      <c r="A106" s="41" t="s">
        <v>96</v>
      </c>
      <c r="B106" s="2">
        <f>+[9]tab14_ha!B22</f>
        <v>63.589637756238098</v>
      </c>
      <c r="C106" s="2">
        <f>+[9]tab14_ha!C22</f>
        <v>55.49634789314856</v>
      </c>
      <c r="D106" s="2">
        <f>+[9]tab14_ha!D22</f>
        <v>57.342081387519684</v>
      </c>
      <c r="E106" s="15">
        <f>+[9]tab14_ha!E22</f>
        <v>58.7716475</v>
      </c>
      <c r="F106" s="15">
        <f>+[9]tab14_ha!F22</f>
        <v>60.854150000000004</v>
      </c>
      <c r="G106" s="15">
        <f>+[9]tab14_ha!G22</f>
        <v>62.196255000000001</v>
      </c>
      <c r="H106" s="15">
        <f>+[9]tab14_ha!H22</f>
        <v>64.102337500000004</v>
      </c>
      <c r="I106" s="15">
        <f>+[9]tab14_ha!I22</f>
        <v>65.917574999999999</v>
      </c>
    </row>
    <row r="107" spans="1:9" x14ac:dyDescent="0.35">
      <c r="A107" s="41"/>
      <c r="B107" s="11">
        <f>+[9]tab14_ha!B23</f>
        <v>15.458048503319866</v>
      </c>
      <c r="C107" s="11">
        <f>+[9]tab14_ha!C23</f>
        <v>-12.727372176759399</v>
      </c>
      <c r="D107" s="11">
        <f>+[9]tab14_ha!D23</f>
        <v>3.3258647901026839</v>
      </c>
      <c r="E107" s="17">
        <f>+[9]tab14_ha!E23</f>
        <v>2.4930488707224585</v>
      </c>
      <c r="F107" s="17">
        <f>+[9]tab14_ha!F23</f>
        <v>3.5433794841296606</v>
      </c>
      <c r="G107" s="17">
        <f>+[9]tab14_ha!G23</f>
        <v>2.2054453147402286</v>
      </c>
      <c r="H107" s="17">
        <f>+[9]tab14_ha!H23</f>
        <v>3.0646258363948187</v>
      </c>
      <c r="I107" s="17">
        <f>+[9]tab14_ha!I23</f>
        <v>2.8317805103440952</v>
      </c>
    </row>
    <row r="108" spans="1:9" x14ac:dyDescent="0.35">
      <c r="A108" s="41" t="s">
        <v>97</v>
      </c>
      <c r="B108" s="2">
        <f>+[9]tab14_ha!B24</f>
        <v>6.9936841055282279</v>
      </c>
      <c r="C108" s="2">
        <f>+[9]tab14_ha!C24</f>
        <v>10.265147320644484</v>
      </c>
      <c r="D108" s="2">
        <f>+[9]tab14_ha!D24</f>
        <v>9.1870885923986201</v>
      </c>
      <c r="E108" s="15">
        <f>+[9]tab14_ha!E24</f>
        <v>9.6252117500000001</v>
      </c>
      <c r="F108" s="15">
        <f>+[9]tab14_ha!F24</f>
        <v>10.895855000000001</v>
      </c>
      <c r="G108" s="15">
        <f>+[9]tab14_ha!G24</f>
        <v>10.933887500000001</v>
      </c>
      <c r="H108" s="15">
        <f>+[9]tab14_ha!H24</f>
        <v>11.27783</v>
      </c>
      <c r="I108" s="15">
        <f>+[9]tab14_ha!I24</f>
        <v>11.6411675</v>
      </c>
    </row>
    <row r="109" spans="1:9" x14ac:dyDescent="0.35">
      <c r="A109" s="41"/>
      <c r="B109" s="11">
        <f>+[9]tab14_ha!B25</f>
        <v>33.762805155430506</v>
      </c>
      <c r="C109" s="11">
        <f>+[9]tab14_ha!C25</f>
        <v>46.777394657134927</v>
      </c>
      <c r="D109" s="11">
        <f>+[9]tab14_ha!D25</f>
        <v>-10.502126219637919</v>
      </c>
      <c r="E109" s="17">
        <f>+[9]tab14_ha!E25</f>
        <v>4.768900976571433</v>
      </c>
      <c r="F109" s="17">
        <f>+[9]tab14_ha!F25</f>
        <v>13.201197885334848</v>
      </c>
      <c r="G109" s="17">
        <f>+[9]tab14_ha!G25</f>
        <v>0.3490547552257306</v>
      </c>
      <c r="H109" s="17">
        <f>+[9]tab14_ha!H25</f>
        <v>3.1456561081317114</v>
      </c>
      <c r="I109" s="17">
        <f>+[9]tab14_ha!I25</f>
        <v>3.2216969044576826</v>
      </c>
    </row>
    <row r="110" spans="1:9" x14ac:dyDescent="0.35">
      <c r="A110" s="41" t="s">
        <v>98</v>
      </c>
      <c r="B110" s="2">
        <f>+[9]tab14_ha!B26</f>
        <v>22.78594546291237</v>
      </c>
      <c r="C110" s="2">
        <f>+[9]tab14_ha!C26</f>
        <v>22.70849329842234</v>
      </c>
      <c r="D110" s="2">
        <f>+[9]tab14_ha!D26</f>
        <v>17.119499427030508</v>
      </c>
      <c r="E110" s="15">
        <f>+[9]tab14_ha!E26</f>
        <v>22.067799999999998</v>
      </c>
      <c r="F110" s="15">
        <f>+[9]tab14_ha!F26</f>
        <v>20.903367500000002</v>
      </c>
      <c r="G110" s="15">
        <f>+[9]tab14_ha!G26</f>
        <v>22.752800000000001</v>
      </c>
      <c r="H110" s="15">
        <f>+[9]tab14_ha!H26</f>
        <v>23.307449999999999</v>
      </c>
      <c r="I110" s="15">
        <f>+[9]tab14_ha!I26</f>
        <v>23.893070000000002</v>
      </c>
    </row>
    <row r="111" spans="1:9" x14ac:dyDescent="0.35">
      <c r="A111" s="41"/>
      <c r="B111" s="11">
        <f>+[9]tab14_ha!B27</f>
        <v>35.720513317427447</v>
      </c>
      <c r="C111" s="11">
        <f>+[9]tab14_ha!C27</f>
        <v>-0.33991200679425182</v>
      </c>
      <c r="D111" s="11">
        <f>+[9]tab14_ha!D27</f>
        <v>-24.611909728859573</v>
      </c>
      <c r="E111" s="17">
        <f>+[9]tab14_ha!E27</f>
        <v>28.904469982086422</v>
      </c>
      <c r="F111" s="17">
        <f>+[9]tab14_ha!F27</f>
        <v>-5.2766134367721147</v>
      </c>
      <c r="G111" s="17">
        <f>+[9]tab14_ha!G27</f>
        <v>8.8475337765553839</v>
      </c>
      <c r="H111" s="17">
        <f>+[9]tab14_ha!H27</f>
        <v>2.4377219507049519</v>
      </c>
      <c r="I111" s="17">
        <f>+[9]tab14_ha!I27</f>
        <v>2.5125871770614205</v>
      </c>
    </row>
    <row r="112" spans="1:9" x14ac:dyDescent="0.35">
      <c r="A112" s="41" t="s">
        <v>99</v>
      </c>
      <c r="B112" s="2">
        <f>+[9]tab14_ha!B28</f>
        <v>14.791293213447704</v>
      </c>
      <c r="C112" s="2">
        <f>+[9]tab14_ha!C28</f>
        <v>12.248528209581913</v>
      </c>
      <c r="D112" s="2">
        <f>+[9]tab14_ha!D28</f>
        <v>16.118275609918864</v>
      </c>
      <c r="E112" s="15">
        <f>+[9]tab14_ha!E28</f>
        <v>16.242962500000001</v>
      </c>
      <c r="F112" s="15">
        <f>+[9]tab14_ha!F28</f>
        <v>15.689662500000001</v>
      </c>
      <c r="G112" s="15">
        <f>+[9]tab14_ha!G28</f>
        <v>16.125362500000001</v>
      </c>
      <c r="H112" s="15">
        <f>+[9]tab14_ha!H28</f>
        <v>16.307807499999999</v>
      </c>
      <c r="I112" s="15">
        <f>+[9]tab14_ha!I28</f>
        <v>16.536455</v>
      </c>
    </row>
    <row r="113" spans="1:9" x14ac:dyDescent="0.35">
      <c r="A113" s="41"/>
      <c r="B113" s="11">
        <f>+[9]tab14_ha!B29</f>
        <v>5.7391605614995012</v>
      </c>
      <c r="C113" s="11">
        <f>+[9]tab14_ha!C29</f>
        <v>-17.1909579992235</v>
      </c>
      <c r="D113" s="11">
        <f>+[9]tab14_ha!D29</f>
        <v>31.593570542701464</v>
      </c>
      <c r="E113" s="17">
        <f>+[9]tab14_ha!E29</f>
        <v>0.77357462484639594</v>
      </c>
      <c r="F113" s="17">
        <f>+[9]tab14_ha!F29</f>
        <v>-3.4063983094216987</v>
      </c>
      <c r="G113" s="17">
        <f>+[9]tab14_ha!G29</f>
        <v>2.776987714044199</v>
      </c>
      <c r="H113" s="17">
        <f>+[9]tab14_ha!H29</f>
        <v>1.1314164255222137</v>
      </c>
      <c r="I113" s="17">
        <f>+[9]tab14_ha!I29</f>
        <v>1.4020738226153462</v>
      </c>
    </row>
    <row r="114" spans="1:9" x14ac:dyDescent="0.35">
      <c r="A114" s="41" t="s">
        <v>100</v>
      </c>
      <c r="B114" s="2">
        <f>+[9]tab14_ha!B30</f>
        <v>17.79192710596714</v>
      </c>
      <c r="C114" s="2">
        <f>+[9]tab14_ha!C30</f>
        <v>17.353439284794341</v>
      </c>
      <c r="D114" s="2">
        <f>+[9]tab14_ha!D30</f>
        <v>16.905740499198071</v>
      </c>
      <c r="E114" s="15">
        <f>+[9]tab14_ha!E30</f>
        <v>18.919207499999999</v>
      </c>
      <c r="F114" s="15">
        <f>+[9]tab14_ha!F30</f>
        <v>17.679435000000002</v>
      </c>
      <c r="G114" s="15">
        <f>+[9]tab14_ha!G30</f>
        <v>18.2510075</v>
      </c>
      <c r="H114" s="15">
        <f>+[9]tab14_ha!H30</f>
        <v>18.247742500000001</v>
      </c>
      <c r="I114" s="15">
        <f>+[9]tab14_ha!I30</f>
        <v>18.231565</v>
      </c>
    </row>
    <row r="115" spans="1:9" x14ac:dyDescent="0.35">
      <c r="B115" s="11">
        <f>+[9]tab14_ha!B31</f>
        <v>-10.004187770855665</v>
      </c>
      <c r="C115" s="11">
        <f>+[9]tab14_ha!C31</f>
        <v>-2.4645324734145158</v>
      </c>
      <c r="D115" s="11">
        <f>+[9]tab14_ha!D31</f>
        <v>-2.5798850490032721</v>
      </c>
      <c r="E115" s="17">
        <f>+[9]tab14_ha!E31</f>
        <v>11.909960411952603</v>
      </c>
      <c r="F115" s="17">
        <f>+[9]tab14_ha!F31</f>
        <v>-6.5529832578875009</v>
      </c>
      <c r="G115" s="17">
        <f>+[9]tab14_ha!G31</f>
        <v>3.232979447589801</v>
      </c>
      <c r="H115" s="17">
        <f>+[9]tab14_ha!H31</f>
        <v>-1.7889423364703116E-2</v>
      </c>
      <c r="I115" s="17">
        <f>+[9]tab14_ha!I31</f>
        <v>-8.8654802094023655E-2</v>
      </c>
    </row>
    <row r="116" spans="1:9" x14ac:dyDescent="0.35">
      <c r="A116" t="s">
        <v>7</v>
      </c>
    </row>
    <row r="122" spans="1:9" x14ac:dyDescent="0.35">
      <c r="A122" s="7" t="s">
        <v>31</v>
      </c>
    </row>
    <row r="123" spans="1:9" x14ac:dyDescent="0.35">
      <c r="A123" s="1" t="str">
        <f>[10]dominant!$A$1</f>
        <v>Dominant Industries, 2023</v>
      </c>
    </row>
    <row r="125" spans="1:9" s="1" customFormat="1" x14ac:dyDescent="0.35">
      <c r="A125" s="1" t="s">
        <v>32</v>
      </c>
      <c r="B125" s="1" t="s">
        <v>33</v>
      </c>
      <c r="C125" s="1" t="s">
        <v>68</v>
      </c>
    </row>
    <row r="126" spans="1:9" x14ac:dyDescent="0.35">
      <c r="A126" s="13" t="str">
        <f>[10]dominant!A75</f>
        <v>7221 - 7224</v>
      </c>
      <c r="B126" s="13" t="str">
        <f>[10]dominant!B75</f>
        <v>Food Services and Drinking Places</v>
      </c>
      <c r="C126" s="2">
        <f>[10]dominant!C75</f>
        <v>20</v>
      </c>
    </row>
    <row r="127" spans="1:9" x14ac:dyDescent="0.35">
      <c r="A127" s="13">
        <f>[10]dominant!A76</f>
        <v>6220</v>
      </c>
      <c r="B127" s="13" t="str">
        <f>[10]dominant!B76</f>
        <v>Hospitals</v>
      </c>
      <c r="C127" s="2">
        <f>[10]dominant!C76</f>
        <v>19.524999999999999</v>
      </c>
    </row>
    <row r="128" spans="1:9" x14ac:dyDescent="0.35">
      <c r="A128" s="13">
        <f>[10]dominant!A77</f>
        <v>6111</v>
      </c>
      <c r="B128" s="13" t="str">
        <f>[10]dominant!B77</f>
        <v>Primary and Secondary</v>
      </c>
      <c r="C128" s="2">
        <f>[10]dominant!C77</f>
        <v>19.074999999999996</v>
      </c>
    </row>
    <row r="129" spans="1:3" x14ac:dyDescent="0.35">
      <c r="A129" s="13" t="str">
        <f>[10]dominant!A78</f>
        <v>4111 - 4191</v>
      </c>
      <c r="B129" s="13" t="str">
        <f>[10]dominant!B78</f>
        <v>Wholesale Trade</v>
      </c>
      <c r="C129" s="2">
        <f>[10]dominant!C78</f>
        <v>18.024999999999999</v>
      </c>
    </row>
    <row r="130" spans="1:3" x14ac:dyDescent="0.35">
      <c r="A130" s="13" t="str">
        <f>[10]dominant!A79</f>
        <v>6211 - 6219</v>
      </c>
      <c r="B130" s="13" t="str">
        <f>[10]dominant!B79</f>
        <v>Ambulatory Health Care Services</v>
      </c>
      <c r="C130" s="2">
        <f>[10]dominant!C79</f>
        <v>17.399999999999999</v>
      </c>
    </row>
    <row r="131" spans="1:3" x14ac:dyDescent="0.35">
      <c r="A131" s="13" t="str">
        <f>[10]dominant!A80</f>
        <v>4811 - 4922</v>
      </c>
      <c r="B131" s="13" t="str">
        <f>[10]dominant!B80</f>
        <v>Transportation</v>
      </c>
      <c r="C131" s="2">
        <f>[10]dominant!C80</f>
        <v>16.45</v>
      </c>
    </row>
    <row r="132" spans="1:3" x14ac:dyDescent="0.35">
      <c r="A132" s="13" t="str">
        <f>[10]dominant!A81</f>
        <v>6112 - 6117</v>
      </c>
      <c r="B132" s="13" t="str">
        <f>[10]dominant!B81</f>
        <v>Other Educational Services</v>
      </c>
      <c r="C132" s="2">
        <f>[10]dominant!C81</f>
        <v>16.25</v>
      </c>
    </row>
    <row r="133" spans="1:3" x14ac:dyDescent="0.35">
      <c r="A133" s="13" t="str">
        <f>[10]dominant!A82</f>
        <v>5211, 5221 - 5223, 5231 - 5239</v>
      </c>
      <c r="B133" s="13" t="str">
        <f>[10]dominant!B82</f>
        <v>Finance</v>
      </c>
      <c r="C133" s="2">
        <f>[10]dominant!C82</f>
        <v>15.125</v>
      </c>
    </row>
    <row r="134" spans="1:3" x14ac:dyDescent="0.35">
      <c r="A134" s="13">
        <f>[10]dominant!A83</f>
        <v>0</v>
      </c>
      <c r="B134" s="13">
        <f>[10]dominant!B83</f>
        <v>0</v>
      </c>
      <c r="C134" s="2">
        <f>[10]dominant!C83</f>
        <v>0</v>
      </c>
    </row>
    <row r="135" spans="1:3" x14ac:dyDescent="0.35">
      <c r="A135" s="13">
        <f>[10]dominant!A84</f>
        <v>0</v>
      </c>
      <c r="B135" s="13">
        <f>[10]dominant!B84</f>
        <v>0</v>
      </c>
      <c r="C135" s="2">
        <f>[10]dominant!C84</f>
        <v>0</v>
      </c>
    </row>
    <row r="137" spans="1:3" x14ac:dyDescent="0.35">
      <c r="A137" t="s">
        <v>34</v>
      </c>
    </row>
    <row r="138" spans="1:3" x14ac:dyDescent="0.35">
      <c r="A138" t="s">
        <v>35</v>
      </c>
    </row>
    <row r="141" spans="1:3" x14ac:dyDescent="0.35">
      <c r="A141" s="7" t="s">
        <v>36</v>
      </c>
    </row>
    <row r="142" spans="1:3" x14ac:dyDescent="0.35">
      <c r="A142" s="1" t="s">
        <v>37</v>
      </c>
    </row>
    <row r="144" spans="1:3" x14ac:dyDescent="0.35">
      <c r="A144" s="19" t="s">
        <v>38</v>
      </c>
      <c r="B144" t="s">
        <v>39</v>
      </c>
      <c r="C144" s="8">
        <f>[11]TAB10_ha!$C$2*100</f>
        <v>60.70168230928504</v>
      </c>
    </row>
    <row r="145" spans="1:10" x14ac:dyDescent="0.35">
      <c r="B145" t="s">
        <v>40</v>
      </c>
      <c r="C145" s="8">
        <f>100-C144</f>
        <v>39.29831769071496</v>
      </c>
    </row>
    <row r="147" spans="1:10" x14ac:dyDescent="0.35">
      <c r="A147" s="19" t="s">
        <v>41</v>
      </c>
      <c r="B147" t="s">
        <v>90</v>
      </c>
      <c r="C147" s="8">
        <f>+[11]TAB10_ha!$B$2*100</f>
        <v>195.34770204098558</v>
      </c>
    </row>
    <row r="148" spans="1:10" x14ac:dyDescent="0.35">
      <c r="B148" t="s">
        <v>10</v>
      </c>
      <c r="C148" s="8">
        <v>100</v>
      </c>
    </row>
    <row r="150" spans="1:10" x14ac:dyDescent="0.35">
      <c r="A150" t="s">
        <v>7</v>
      </c>
    </row>
    <row r="153" spans="1:10" x14ac:dyDescent="0.35">
      <c r="A153" s="7" t="s">
        <v>42</v>
      </c>
    </row>
    <row r="154" spans="1:10" x14ac:dyDescent="0.35">
      <c r="A154" s="1" t="s">
        <v>43</v>
      </c>
    </row>
    <row r="156" spans="1:10" s="1" customFormat="1" x14ac:dyDescent="0.35">
      <c r="A156" s="1" t="s">
        <v>44</v>
      </c>
      <c r="B156" s="1" t="str">
        <f>+[12]TAB16_ha!B1</f>
        <v>2015</v>
      </c>
      <c r="C156" s="1" t="str">
        <f>+[12]TAB16_ha!C1</f>
        <v>2016</v>
      </c>
      <c r="D156" s="1" t="str">
        <f>+[12]TAB16_ha!D1</f>
        <v>2017</v>
      </c>
      <c r="E156" s="1" t="str">
        <f>+[12]TAB16_ha!E1</f>
        <v>2018</v>
      </c>
      <c r="F156" s="1" t="str">
        <f>+[12]TAB16_ha!F1</f>
        <v>2019</v>
      </c>
      <c r="G156" s="1" t="str">
        <f>+[12]TAB16_ha!G1</f>
        <v>2020</v>
      </c>
      <c r="H156" s="1" t="str">
        <f>+[12]TAB16_ha!H1</f>
        <v>2021</v>
      </c>
      <c r="I156" s="1" t="str">
        <f>+[12]TAB16_ha!I1</f>
        <v>2022</v>
      </c>
      <c r="J156" s="1" t="str">
        <f>+[12]TAB16_ha!J1</f>
        <v>2023</v>
      </c>
    </row>
    <row r="157" spans="1:10" x14ac:dyDescent="0.35">
      <c r="A157" t="s">
        <v>12</v>
      </c>
      <c r="B157" s="22">
        <f>+[12]TAB16_ha!B2</f>
        <v>1657274</v>
      </c>
      <c r="C157" s="22">
        <f>+[12]TAB16_ha!C2</f>
        <v>1566787</v>
      </c>
      <c r="D157" s="22">
        <f>+[12]TAB16_ha!D2</f>
        <v>1997690</v>
      </c>
      <c r="E157" s="22">
        <f>+[12]TAB16_ha!E2</f>
        <v>1726366</v>
      </c>
      <c r="F157" s="22">
        <f>+[12]TAB16_ha!F2</f>
        <v>1830736</v>
      </c>
      <c r="G157" s="22">
        <f>+[12]TAB16_ha!G2</f>
        <v>1757727</v>
      </c>
      <c r="H157" s="22">
        <f>+[12]TAB16_ha!H2</f>
        <v>2535900</v>
      </c>
      <c r="I157" s="22">
        <f>+[12]TAB16_ha!I2</f>
        <v>2426358</v>
      </c>
      <c r="J157" s="22">
        <f>+[12]TAB16_ha!J2</f>
        <v>3296274</v>
      </c>
    </row>
    <row r="158" spans="1:10" x14ac:dyDescent="0.35">
      <c r="A158" s="18" t="s">
        <v>49</v>
      </c>
      <c r="B158" s="22">
        <f>+[12]TAB16_ha!B3</f>
        <v>1006733</v>
      </c>
      <c r="C158" s="22">
        <f>+[12]TAB16_ha!C3</f>
        <v>1086146</v>
      </c>
      <c r="D158" s="22">
        <f>+[12]TAB16_ha!D3</f>
        <v>1212553</v>
      </c>
      <c r="E158" s="22">
        <f>+[12]TAB16_ha!E3</f>
        <v>1143283</v>
      </c>
      <c r="F158" s="22">
        <f>+[12]TAB16_ha!F3</f>
        <v>1088182</v>
      </c>
      <c r="G158" s="22">
        <f>+[12]TAB16_ha!G3</f>
        <v>1095514</v>
      </c>
      <c r="H158" s="22">
        <f>+[12]TAB16_ha!H3</f>
        <v>1540298</v>
      </c>
      <c r="I158" s="22">
        <f>+[12]TAB16_ha!I3</f>
        <v>1367119</v>
      </c>
      <c r="J158" s="22">
        <f>+[12]TAB16_ha!J3</f>
        <v>2055921</v>
      </c>
    </row>
    <row r="159" spans="1:10" x14ac:dyDescent="0.35">
      <c r="A159" s="18" t="s">
        <v>50</v>
      </c>
      <c r="B159" s="22">
        <f>+[12]TAB16_ha!B4</f>
        <v>650541</v>
      </c>
      <c r="C159" s="22">
        <f>+[12]TAB16_ha!C4</f>
        <v>480641</v>
      </c>
      <c r="D159" s="22">
        <f>+[12]TAB16_ha!D4</f>
        <v>785137</v>
      </c>
      <c r="E159" s="22">
        <f>+[12]TAB16_ha!E4</f>
        <v>583083</v>
      </c>
      <c r="F159" s="22">
        <f>+[12]TAB16_ha!F4</f>
        <v>742554</v>
      </c>
      <c r="G159" s="22">
        <f>+[12]TAB16_ha!G4</f>
        <v>662213</v>
      </c>
      <c r="H159" s="22">
        <f>+[12]TAB16_ha!H4</f>
        <v>995602</v>
      </c>
      <c r="I159" s="22">
        <f>+[12]TAB16_ha!I4</f>
        <v>1059239</v>
      </c>
      <c r="J159" s="22">
        <f>+[12]TAB16_ha!J4</f>
        <v>1240353</v>
      </c>
    </row>
    <row r="160" spans="1:10" x14ac:dyDescent="0.35">
      <c r="A160" s="21" t="s">
        <v>13</v>
      </c>
      <c r="B160" s="22">
        <f>+[12]TAB16_ha!B5</f>
        <v>87095</v>
      </c>
      <c r="C160" s="22">
        <f>+[12]TAB16_ha!C5</f>
        <v>37097</v>
      </c>
      <c r="D160" s="22">
        <f>+[12]TAB16_ha!D5</f>
        <v>141030</v>
      </c>
      <c r="E160" s="22">
        <f>+[12]TAB16_ha!E5</f>
        <v>89879</v>
      </c>
      <c r="F160" s="22">
        <f>+[12]TAB16_ha!F5</f>
        <v>197571</v>
      </c>
      <c r="G160" s="22">
        <f>+[12]TAB16_ha!G5</f>
        <v>205556</v>
      </c>
      <c r="H160" s="22">
        <f>+[12]TAB16_ha!H5</f>
        <v>90534</v>
      </c>
      <c r="I160" s="22">
        <f>+[12]TAB16_ha!I5</f>
        <v>95496</v>
      </c>
      <c r="J160" s="22">
        <f>+[12]TAB16_ha!J5</f>
        <v>424411</v>
      </c>
    </row>
    <row r="161" spans="1:10" x14ac:dyDescent="0.35">
      <c r="A161" s="21" t="s">
        <v>51</v>
      </c>
      <c r="B161" s="22">
        <f>+[12]TAB16_ha!B6</f>
        <v>204498</v>
      </c>
      <c r="C161" s="22">
        <f>+[12]TAB16_ha!C6</f>
        <v>289731</v>
      </c>
      <c r="D161" s="22">
        <f>+[12]TAB16_ha!D6</f>
        <v>258903</v>
      </c>
      <c r="E161" s="22">
        <f>+[12]TAB16_ha!E6</f>
        <v>271484</v>
      </c>
      <c r="F161" s="22">
        <f>+[12]TAB16_ha!F6</f>
        <v>301281</v>
      </c>
      <c r="G161" s="22">
        <f>+[12]TAB16_ha!G6</f>
        <v>386287</v>
      </c>
      <c r="H161" s="22">
        <f>+[12]TAB16_ha!H6</f>
        <v>789535</v>
      </c>
      <c r="I161" s="22">
        <f>+[12]TAB16_ha!I6</f>
        <v>599719</v>
      </c>
      <c r="J161" s="22">
        <f>+[12]TAB16_ha!J6</f>
        <v>541698</v>
      </c>
    </row>
    <row r="162" spans="1:10" x14ac:dyDescent="0.35">
      <c r="A162" s="21" t="s">
        <v>69</v>
      </c>
      <c r="B162" s="22">
        <f>+[12]TAB16_ha!B7</f>
        <v>358948</v>
      </c>
      <c r="C162" s="22">
        <f>+[12]TAB16_ha!C7</f>
        <v>153813</v>
      </c>
      <c r="D162" s="22">
        <f>+[12]TAB16_ha!D7</f>
        <v>385204</v>
      </c>
      <c r="E162" s="22">
        <f>+[12]TAB16_ha!E7</f>
        <v>221720</v>
      </c>
      <c r="F162" s="22">
        <f>+[12]TAB16_ha!F7</f>
        <v>243702</v>
      </c>
      <c r="G162" s="22">
        <f>+[12]TAB16_ha!G7</f>
        <v>70370</v>
      </c>
      <c r="H162" s="22">
        <f>+[12]TAB16_ha!H7</f>
        <v>115533</v>
      </c>
      <c r="I162" s="22">
        <f>+[12]TAB16_ha!I7</f>
        <v>364024</v>
      </c>
      <c r="J162" s="22">
        <f>+[12]TAB16_ha!J7</f>
        <v>274244</v>
      </c>
    </row>
    <row r="163" spans="1:10" s="1" customFormat="1" x14ac:dyDescent="0.35">
      <c r="A163" s="1" t="s">
        <v>45</v>
      </c>
    </row>
    <row r="164" spans="1:10" x14ac:dyDescent="0.35">
      <c r="A164" t="s">
        <v>46</v>
      </c>
      <c r="B164" s="22" t="str">
        <f>'[13]office sector'!C93</f>
        <v>n/a</v>
      </c>
      <c r="C164" s="22" t="str">
        <f>'[13]office sector'!D93</f>
        <v>n/a</v>
      </c>
      <c r="D164" s="22" t="str">
        <f>'[13]office sector'!E93</f>
        <v>n/a</v>
      </c>
      <c r="E164" s="22" t="str">
        <f>'[13]office sector'!F93</f>
        <v>n/a</v>
      </c>
      <c r="F164" s="22" t="str">
        <f>'[13]office sector'!G93</f>
        <v>n/a</v>
      </c>
      <c r="G164" s="22" t="str">
        <f>'[13]office sector'!H93</f>
        <v>n/a</v>
      </c>
      <c r="H164" s="22" t="str">
        <f>'[13]office sector'!I93</f>
        <v>n/a</v>
      </c>
      <c r="I164" s="22" t="str">
        <f>'[13]office sector'!J93</f>
        <v>n/a</v>
      </c>
      <c r="J164" s="22" t="str">
        <f>'[13]office sector'!K93</f>
        <v>n/a</v>
      </c>
    </row>
    <row r="165" spans="1:10" x14ac:dyDescent="0.35">
      <c r="A165" t="s">
        <v>55</v>
      </c>
      <c r="B165" s="22" t="str">
        <f>'[13]office sector'!C94</f>
        <v>n/a</v>
      </c>
      <c r="C165" s="22" t="str">
        <f>'[13]office sector'!D94</f>
        <v>n/a</v>
      </c>
      <c r="D165" s="22" t="str">
        <f>'[13]office sector'!E94</f>
        <v>n/a</v>
      </c>
      <c r="E165" s="22" t="str">
        <f>'[13]office sector'!F94</f>
        <v>n/a</v>
      </c>
      <c r="F165" s="22" t="str">
        <f>'[13]office sector'!G94</f>
        <v>n/a</v>
      </c>
      <c r="G165" s="22" t="str">
        <f>'[13]office sector'!H94</f>
        <v>n/a</v>
      </c>
      <c r="H165" s="22" t="str">
        <f>'[13]office sector'!I94</f>
        <v>n/a</v>
      </c>
      <c r="I165" s="22" t="str">
        <f>'[13]office sector'!J94</f>
        <v>n/a</v>
      </c>
      <c r="J165" s="22" t="str">
        <f>'[13]office sector'!K94</f>
        <v>n/a</v>
      </c>
    </row>
    <row r="166" spans="1:10" x14ac:dyDescent="0.35">
      <c r="A166" t="s">
        <v>47</v>
      </c>
      <c r="B166" s="22" t="str">
        <f>'[13]office sector'!C95</f>
        <v>n/a</v>
      </c>
      <c r="C166" s="22" t="str">
        <f>'[13]office sector'!D95</f>
        <v>n/a</v>
      </c>
      <c r="D166" s="22" t="str">
        <f>'[13]office sector'!E95</f>
        <v>n/a</v>
      </c>
      <c r="E166" s="22" t="str">
        <f>'[13]office sector'!F95</f>
        <v>n/a</v>
      </c>
      <c r="F166" s="22" t="str">
        <f>'[13]office sector'!G95</f>
        <v>n/a</v>
      </c>
      <c r="G166" s="22" t="str">
        <f>'[13]office sector'!H95</f>
        <v>n/a</v>
      </c>
      <c r="H166" s="22" t="str">
        <f>'[13]office sector'!I95</f>
        <v>n/a</v>
      </c>
      <c r="I166" s="22" t="str">
        <f>'[13]office sector'!J95</f>
        <v>n/a</v>
      </c>
      <c r="J166" s="22" t="str">
        <f>'[13]office sector'!K95</f>
        <v>n/a</v>
      </c>
    </row>
    <row r="167" spans="1:10" x14ac:dyDescent="0.35">
      <c r="A167" t="s">
        <v>48</v>
      </c>
      <c r="B167" s="22">
        <f>+[14]TAB13_ha!B2</f>
        <v>96.543165811263464</v>
      </c>
      <c r="C167" s="22">
        <f>+[14]TAB13_ha!C2</f>
        <v>91.451058556402643</v>
      </c>
      <c r="D167" s="22">
        <f>+[14]TAB13_ha!D2</f>
        <v>98.926375985632646</v>
      </c>
      <c r="E167" s="22">
        <f>+[14]TAB13_ha!E2</f>
        <v>105.33013020073214</v>
      </c>
      <c r="F167" s="22">
        <f>+[14]TAB13_ha!F2</f>
        <v>100.21289112875355</v>
      </c>
      <c r="G167" s="22">
        <f>+[14]TAB13_ha!G2</f>
        <v>94.545003965240994</v>
      </c>
      <c r="H167" s="22">
        <f>+[14]TAB13_ha!H2</f>
        <v>110.45637737317006</v>
      </c>
      <c r="I167" s="22">
        <f>+[14]TAB13_ha!I2</f>
        <v>110.78763343202377</v>
      </c>
      <c r="J167" s="22">
        <f>+[14]TAB13_ha!J2</f>
        <v>109.22083740517409</v>
      </c>
    </row>
    <row r="168" spans="1:10" x14ac:dyDescent="0.35">
      <c r="A168" t="s">
        <v>55</v>
      </c>
      <c r="B168" s="24">
        <f>+[14]TAB13_ha!B3</f>
        <v>3.2818382586981887</v>
      </c>
      <c r="C168" s="24">
        <f>+[14]TAB13_ha!C3</f>
        <v>-5.274435753241824</v>
      </c>
      <c r="D168" s="24">
        <f>+[14]TAB13_ha!D3</f>
        <v>8.1741179897000258</v>
      </c>
      <c r="E168" s="24">
        <f>+[14]TAB13_ha!E3</f>
        <v>6.4732526096271226</v>
      </c>
      <c r="F168" s="24">
        <f>+[14]TAB13_ha!F3</f>
        <v>-4.8582860974599074</v>
      </c>
      <c r="G168" s="24">
        <f>+[14]TAB13_ha!G3</f>
        <v>-5.6558463683384357</v>
      </c>
      <c r="H168" s="24">
        <f>+[14]TAB13_ha!H3</f>
        <v>16.829417463220796</v>
      </c>
      <c r="I168" s="24">
        <f>+[14]TAB13_ha!I3</f>
        <v>0.29989763083988485</v>
      </c>
      <c r="J168" s="24">
        <f>+[14]TAB13_ha!J3</f>
        <v>-1.414233681425292</v>
      </c>
    </row>
    <row r="169" spans="1:10" s="1" customFormat="1" x14ac:dyDescent="0.35">
      <c r="A169" s="1" t="s">
        <v>54</v>
      </c>
      <c r="B169" s="20"/>
      <c r="C169" s="20"/>
      <c r="D169" s="20"/>
      <c r="E169" s="20"/>
      <c r="F169" s="20"/>
      <c r="G169" s="20"/>
      <c r="H169" s="20"/>
      <c r="I169" s="20"/>
      <c r="J169" s="20"/>
    </row>
    <row r="170" spans="1:10" x14ac:dyDescent="0.35">
      <c r="A170" t="s">
        <v>52</v>
      </c>
      <c r="B170" s="22">
        <f>[15]bankruptcies!B60</f>
        <v>847</v>
      </c>
      <c r="C170" s="22">
        <f>[15]bankruptcies!C60</f>
        <v>841</v>
      </c>
      <c r="D170" s="22">
        <f>[15]bankruptcies!D60</f>
        <v>726</v>
      </c>
      <c r="E170" s="22">
        <f>[15]bankruptcies!E60</f>
        <v>709</v>
      </c>
      <c r="F170" s="22">
        <f>[15]bankruptcies!F60</f>
        <v>700</v>
      </c>
      <c r="G170" s="22">
        <f>[15]bankruptcies!G60</f>
        <v>458</v>
      </c>
      <c r="H170" s="22">
        <f>[15]bankruptcies!H60</f>
        <v>364</v>
      </c>
      <c r="I170" s="22">
        <f>[15]bankruptcies!I60</f>
        <v>376</v>
      </c>
      <c r="J170" s="22">
        <f>[15]bankruptcies!J60</f>
        <v>438</v>
      </c>
    </row>
    <row r="171" spans="1:10" x14ac:dyDescent="0.35">
      <c r="A171" t="s">
        <v>53</v>
      </c>
      <c r="B171" s="22">
        <f>[15]bankruptcies!B61</f>
        <v>44</v>
      </c>
      <c r="C171" s="22">
        <f>[15]bankruptcies!C61</f>
        <v>37</v>
      </c>
      <c r="D171" s="22">
        <f>[15]bankruptcies!D61</f>
        <v>38</v>
      </c>
      <c r="E171" s="22">
        <f>[15]bankruptcies!E61</f>
        <v>32</v>
      </c>
      <c r="F171" s="22">
        <f>[15]bankruptcies!F61</f>
        <v>45</v>
      </c>
      <c r="G171" s="22">
        <f>[15]bankruptcies!G61</f>
        <v>19</v>
      </c>
      <c r="H171" s="22">
        <f>[15]bankruptcies!H61</f>
        <v>25</v>
      </c>
      <c r="I171" s="22">
        <f>[15]bankruptcies!I61</f>
        <v>42</v>
      </c>
      <c r="J171" s="22">
        <f>[15]bankruptcies!J61</f>
        <v>52</v>
      </c>
    </row>
    <row r="173" spans="1:10" x14ac:dyDescent="0.35">
      <c r="A173" t="s">
        <v>56</v>
      </c>
    </row>
    <row r="174" spans="1:10" x14ac:dyDescent="0.35">
      <c r="A174" t="s">
        <v>57</v>
      </c>
    </row>
    <row r="177" spans="1:2" x14ac:dyDescent="0.35">
      <c r="A177" s="7" t="s">
        <v>58</v>
      </c>
    </row>
    <row r="178" spans="1:2" x14ac:dyDescent="0.35">
      <c r="A178" s="1" t="s">
        <v>59</v>
      </c>
    </row>
    <row r="180" spans="1:2" x14ac:dyDescent="0.35">
      <c r="A180" s="1" t="str">
        <f>'[26]real estate_2019'!A4</f>
        <v>New Housing Market (2019)</v>
      </c>
    </row>
    <row r="181" spans="1:2" x14ac:dyDescent="0.35">
      <c r="A181" t="str">
        <f>'[26]real estate_2019'!A5</f>
        <v>Single-Detached Absorptions</v>
      </c>
      <c r="B181" s="32">
        <f>'[26]real estate_2019'!K5</f>
        <v>598</v>
      </c>
    </row>
    <row r="182" spans="1:2" x14ac:dyDescent="0.35">
      <c r="A182" s="31" t="str">
        <f>'[26]real estate_2019'!A6</f>
        <v>Growth</v>
      </c>
      <c r="B182" s="34">
        <f>'[26]real estate_2019'!K6</f>
        <v>-0.14935988620199148</v>
      </c>
    </row>
    <row r="183" spans="1:2" s="1" customFormat="1" x14ac:dyDescent="0.35">
      <c r="A183" t="str">
        <f>'[26]real estate_2019'!A7</f>
        <v>Average Price of Absorbed Single-Detached Units</v>
      </c>
      <c r="B183" s="33">
        <f>'[26]real estate_2019'!K7</f>
        <v>742995</v>
      </c>
    </row>
    <row r="184" spans="1:2" x14ac:dyDescent="0.35">
      <c r="A184" s="31" t="str">
        <f>'[26]real estate_2019'!A8</f>
        <v>Growth</v>
      </c>
      <c r="B184" s="34">
        <f>'[26]real estate_2019'!K8</f>
        <v>2.218978463705823E-2</v>
      </c>
    </row>
    <row r="185" spans="1:2" x14ac:dyDescent="0.35">
      <c r="A185" s="1" t="str">
        <f>'[26]real estate_2019'!A9</f>
        <v>Resale Housing Market (2019)</v>
      </c>
      <c r="B185" s="26"/>
    </row>
    <row r="186" spans="1:2" x14ac:dyDescent="0.35">
      <c r="A186" t="str">
        <f>'[26]real estate_2019'!A10</f>
        <v>Unit Sales</v>
      </c>
      <c r="B186" s="32">
        <f>'[26]real estate_2019'!K10</f>
        <v>13328</v>
      </c>
    </row>
    <row r="187" spans="1:2" x14ac:dyDescent="0.35">
      <c r="A187" s="31" t="str">
        <f>'[26]real estate_2019'!A11</f>
        <v>Growth</v>
      </c>
      <c r="B187" s="34">
        <f>'[26]real estate_2019'!K11</f>
        <v>0.11708993378593591</v>
      </c>
    </row>
    <row r="188" spans="1:2" x14ac:dyDescent="0.35">
      <c r="A188" t="str">
        <f>'[26]real estate_2019'!A12</f>
        <v>Average Price</v>
      </c>
      <c r="B188" s="33">
        <f>'[26]real estate_2019'!K12</f>
        <v>590720</v>
      </c>
    </row>
    <row r="189" spans="1:2" x14ac:dyDescent="0.35">
      <c r="A189" s="31" t="str">
        <f>'[26]real estate_2019'!A13</f>
        <v>Growth</v>
      </c>
      <c r="B189" s="34">
        <f>'[26]real estate_2019'!K13</f>
        <v>4.95717991542588E-2</v>
      </c>
    </row>
    <row r="190" spans="1:2" x14ac:dyDescent="0.35">
      <c r="A190" s="1" t="str">
        <f>'[26]real estate_2019'!A14</f>
        <v>Apartment Market (October 2019) (1)</v>
      </c>
      <c r="B190" s="25"/>
    </row>
    <row r="191" spans="1:2" x14ac:dyDescent="0.35">
      <c r="A191" t="str">
        <f>'[26]real estate_2019'!A15</f>
        <v>Two Bedroom Vacancy Rate</v>
      </c>
      <c r="B191" s="35">
        <f>'[26]real estate_2019'!$K$15</f>
        <v>3.1E-2</v>
      </c>
    </row>
    <row r="192" spans="1:2" x14ac:dyDescent="0.35">
      <c r="A192" t="str">
        <f>'[26]real estate_2019'!A16</f>
        <v>Average Two Bedroom Rent</v>
      </c>
      <c r="B192" s="36">
        <f>'[26]real estate_2019'!$K$16</f>
        <v>1220</v>
      </c>
    </row>
    <row r="194" spans="1:2" x14ac:dyDescent="0.35">
      <c r="A194" t="str">
        <f>'[26]real estate_2019'!$A$18</f>
        <v xml:space="preserve">(1) In structures with at least six units. </v>
      </c>
    </row>
    <row r="196" spans="1:2" x14ac:dyDescent="0.35">
      <c r="A196" s="7" t="s">
        <v>70</v>
      </c>
    </row>
    <row r="197" spans="1:2" x14ac:dyDescent="0.35">
      <c r="A197" s="1" t="str">
        <f>_xlfn.CONCAT("Household Income Per Capita,"," ", [16]TAB8_ha!B1)</f>
        <v>Household Income Per Capita, 2023</v>
      </c>
    </row>
    <row r="198" spans="1:2" x14ac:dyDescent="0.35">
      <c r="A198" t="s">
        <v>71</v>
      </c>
    </row>
    <row r="200" spans="1:2" x14ac:dyDescent="0.35">
      <c r="A200" t="s">
        <v>90</v>
      </c>
      <c r="B200" s="28">
        <f>+[16]TAB8_ha!B2/1000</f>
        <v>56.25041819237186</v>
      </c>
    </row>
    <row r="201" spans="1:2" x14ac:dyDescent="0.35">
      <c r="A201" t="s">
        <v>89</v>
      </c>
      <c r="B201" s="28">
        <f>+[17]TAB8_on!B2/1000</f>
        <v>57.935598797989712</v>
      </c>
    </row>
    <row r="202" spans="1:2" x14ac:dyDescent="0.35">
      <c r="A202" t="s">
        <v>10</v>
      </c>
      <c r="B202" s="28">
        <f>+[18]TAB8_K!B2/1000</f>
        <v>58.251608769384504</v>
      </c>
    </row>
    <row r="204" spans="1:2" x14ac:dyDescent="0.35">
      <c r="A204" t="s">
        <v>72</v>
      </c>
    </row>
    <row r="207" spans="1:2" x14ac:dyDescent="0.35">
      <c r="A207" s="7" t="s">
        <v>73</v>
      </c>
    </row>
    <row r="208" spans="1:2" x14ac:dyDescent="0.35">
      <c r="A208" s="1" t="str">
        <f>CONCATENATE("Economic Structure,"," ", [19]TAB9_ha!A2)</f>
        <v>Economic Structure, 2023</v>
      </c>
      <c r="B208" s="9">
        <f>+[19]TAB9_ha!B2</f>
        <v>0.92952845836575804</v>
      </c>
    </row>
    <row r="210" spans="1:4" x14ac:dyDescent="0.35">
      <c r="A210" t="s">
        <v>7</v>
      </c>
    </row>
    <row r="213" spans="1:4" x14ac:dyDescent="0.35">
      <c r="A213" s="7" t="s">
        <v>74</v>
      </c>
    </row>
    <row r="214" spans="1:4" x14ac:dyDescent="0.35">
      <c r="A214" s="1" t="s">
        <v>75</v>
      </c>
    </row>
    <row r="216" spans="1:4" x14ac:dyDescent="0.35">
      <c r="B216" t="s">
        <v>76</v>
      </c>
      <c r="C216" t="s">
        <v>77</v>
      </c>
      <c r="D216" t="s">
        <v>78</v>
      </c>
    </row>
    <row r="217" spans="1:4" x14ac:dyDescent="0.35">
      <c r="A217" s="2" t="str">
        <f>+[20]TAB5_ha!A2</f>
        <v>2021</v>
      </c>
      <c r="B217" s="4">
        <f>+[20]TAB5_ha!B2</f>
        <v>5868.0000000000018</v>
      </c>
      <c r="C217" s="4">
        <f>+[20]TAB5_ha!C2</f>
        <v>-1694.9375000000002</v>
      </c>
      <c r="D217" s="4">
        <f>+[20]TAB5_ha!D2</f>
        <v>3855.1875000000014</v>
      </c>
    </row>
    <row r="218" spans="1:4" x14ac:dyDescent="0.35">
      <c r="A218" s="2" t="str">
        <f>+[20]TAB5_ha!A3</f>
        <v>2022</v>
      </c>
      <c r="B218" s="4">
        <f>+[20]TAB5_ha!B3</f>
        <v>10439.75</v>
      </c>
      <c r="C218" s="4">
        <f>+[20]TAB5_ha!C3</f>
        <v>-2507.75</v>
      </c>
      <c r="D218" s="4">
        <f>+[20]TAB5_ha!D3</f>
        <v>3348.8749999999991</v>
      </c>
    </row>
    <row r="219" spans="1:4" x14ac:dyDescent="0.35">
      <c r="A219" s="2" t="str">
        <f>+[20]TAB5_ha!A4</f>
        <v>2023</v>
      </c>
      <c r="B219" s="4">
        <f>+[20]TAB5_ha!B4</f>
        <v>12350.455764002425</v>
      </c>
      <c r="C219" s="4">
        <f>+[20]TAB5_ha!C4</f>
        <v>-2687.8018128967565</v>
      </c>
      <c r="D219" s="4">
        <f>+[20]TAB5_ha!D4</f>
        <v>3319.3696178275923</v>
      </c>
    </row>
    <row r="220" spans="1:4" x14ac:dyDescent="0.35">
      <c r="A220" s="2" t="str">
        <f>CONCATENATE([20]TAB5_ha!A5,"f")</f>
        <v>2024f</v>
      </c>
      <c r="B220" s="4">
        <f>+[20]TAB5_ha!B5</f>
        <v>8800.0000000000018</v>
      </c>
      <c r="C220" s="4">
        <f>+[20]TAB5_ha!C5</f>
        <v>-2402.23675</v>
      </c>
      <c r="D220" s="4">
        <f>+[20]TAB5_ha!D5</f>
        <v>3350.0002500000001</v>
      </c>
    </row>
    <row r="221" spans="1:4" x14ac:dyDescent="0.35">
      <c r="A221" s="2" t="str">
        <f>CONCATENATE([20]TAB5_ha!A6,"f")</f>
        <v>2025f</v>
      </c>
      <c r="B221" s="4">
        <f>+[20]TAB5_ha!B6</f>
        <v>7750.0000000000045</v>
      </c>
      <c r="C221" s="4">
        <f>+[20]TAB5_ha!C6</f>
        <v>-2350.2464999999997</v>
      </c>
      <c r="D221" s="4">
        <f>+[20]TAB5_ha!D6</f>
        <v>3429.9994999999999</v>
      </c>
    </row>
    <row r="222" spans="1:4" x14ac:dyDescent="0.35">
      <c r="A222" s="2" t="str">
        <f>CONCATENATE([20]TAB5_ha!A7,"f")</f>
        <v>2026f</v>
      </c>
      <c r="B222" s="4">
        <f>+[20]TAB5_ha!B7</f>
        <v>6899.9999999999982</v>
      </c>
      <c r="C222" s="4">
        <f>+[20]TAB5_ha!C7</f>
        <v>-1163.2417250000001</v>
      </c>
      <c r="D222" s="4">
        <f>+[20]TAB5_ha!D7</f>
        <v>3480.0005000000001</v>
      </c>
    </row>
    <row r="223" spans="1:4" x14ac:dyDescent="0.35">
      <c r="A223" s="2" t="str">
        <f>CONCATENATE([20]TAB5_ha!A8,"f")</f>
        <v>2027f</v>
      </c>
      <c r="B223" s="4">
        <f>+[20]TAB5_ha!B8</f>
        <v>5250.0000000000027</v>
      </c>
      <c r="C223" s="4">
        <f>+[20]TAB5_ha!C8</f>
        <v>-681.97837499999991</v>
      </c>
      <c r="D223" s="4">
        <f>+[20]TAB5_ha!D8</f>
        <v>3480.0005000000001</v>
      </c>
    </row>
    <row r="224" spans="1:4" x14ac:dyDescent="0.35">
      <c r="A224" s="2" t="str">
        <f>CONCATENATE([20]TAB5_ha!A9,"f")</f>
        <v>2028f</v>
      </c>
      <c r="B224" s="4">
        <f>+[20]TAB5_ha!B9</f>
        <v>4700.0000000000055</v>
      </c>
      <c r="C224" s="4">
        <f>+[20]TAB5_ha!C9</f>
        <v>-245.5099975</v>
      </c>
      <c r="D224" s="4">
        <f>+[20]TAB5_ha!D9</f>
        <v>3550.0002500000001</v>
      </c>
    </row>
    <row r="226" spans="1:3" x14ac:dyDescent="0.35">
      <c r="A226" t="s">
        <v>72</v>
      </c>
    </row>
    <row r="229" spans="1:3" x14ac:dyDescent="0.35">
      <c r="A229" s="7" t="s">
        <v>79</v>
      </c>
    </row>
    <row r="230" spans="1:3" x14ac:dyDescent="0.35">
      <c r="A230" s="1" t="s">
        <v>80</v>
      </c>
    </row>
    <row r="231" spans="1:3" x14ac:dyDescent="0.35">
      <c r="A231" t="str">
        <f>_xlfn.CONCAT("(",A233,"=1.0",")")</f>
        <v>(2018=1.0)</v>
      </c>
    </row>
    <row r="232" spans="1:3" x14ac:dyDescent="0.35">
      <c r="B232" t="s">
        <v>90</v>
      </c>
      <c r="C232" t="s">
        <v>10</v>
      </c>
    </row>
    <row r="233" spans="1:3" x14ac:dyDescent="0.35">
      <c r="A233" s="2" t="str">
        <f>+[21]TAB6_HA!A2</f>
        <v>2018</v>
      </c>
      <c r="B233" s="9">
        <f>+[21]TAB6_HA!B2/+[21]TAB6_HA!$B$2</f>
        <v>1</v>
      </c>
      <c r="C233" s="9">
        <f>+[21]TAB6_HA!C2/+[21]TAB6_HA!$C$2</f>
        <v>1</v>
      </c>
    </row>
    <row r="234" spans="1:3" x14ac:dyDescent="0.35">
      <c r="A234" s="2" t="str">
        <f>+[21]TAB6_HA!A3</f>
        <v>2019</v>
      </c>
      <c r="B234" s="9">
        <f>+[21]TAB6_HA!B3/+[21]TAB6_HA!$B$2</f>
        <v>0.88606194690265483</v>
      </c>
      <c r="C234" s="9">
        <f>+[21]TAB6_HA!C3/+[21]TAB6_HA!$C$2</f>
        <v>0.98046447381403179</v>
      </c>
    </row>
    <row r="235" spans="1:3" x14ac:dyDescent="0.35">
      <c r="A235" s="2" t="str">
        <f>+[21]TAB6_HA!A4</f>
        <v>2020</v>
      </c>
      <c r="B235" s="9">
        <f>+[21]TAB6_HA!B4/+[21]TAB6_HA!$B$2</f>
        <v>0.94883849557522137</v>
      </c>
      <c r="C235" s="9">
        <f>+[21]TAB6_HA!C4/+[21]TAB6_HA!$C$2</f>
        <v>1.0236653307837231</v>
      </c>
    </row>
    <row r="236" spans="1:3" x14ac:dyDescent="0.35">
      <c r="A236" s="2" t="str">
        <f>+[21]TAB6_HA!A5</f>
        <v>2021</v>
      </c>
      <c r="B236" s="9">
        <f>+[21]TAB6_HA!B5/+[21]TAB6_HA!$B$2</f>
        <v>1.1579092920353984</v>
      </c>
      <c r="C236" s="9">
        <f>+[21]TAB6_HA!C5/+[21]TAB6_HA!$C$2</f>
        <v>1.2741692233242341</v>
      </c>
    </row>
    <row r="237" spans="1:3" x14ac:dyDescent="0.35">
      <c r="A237" s="2" t="str">
        <f>+[21]TAB6_HA!A6</f>
        <v>2022</v>
      </c>
      <c r="B237" s="9">
        <f>+[21]TAB6_HA!B6/+[21]TAB6_HA!$B$2</f>
        <v>0.97621681415929218</v>
      </c>
      <c r="C237" s="9">
        <f>+[21]TAB6_HA!C6/+[21]TAB6_HA!$C$2</f>
        <v>1.230244828347655</v>
      </c>
    </row>
    <row r="238" spans="1:3" x14ac:dyDescent="0.35">
      <c r="A238" s="2" t="str">
        <f>+[21]TAB6_HA!A7</f>
        <v>2023</v>
      </c>
      <c r="B238" s="9">
        <f>+[21]TAB6_HA!B7/+[21]TAB6_HA!$B$2</f>
        <v>1.0235066371681416</v>
      </c>
      <c r="C238" s="9">
        <f>+[21]TAB6_HA!C7/+[21]TAB6_HA!$C$2</f>
        <v>1.1311224705534122</v>
      </c>
    </row>
    <row r="239" spans="1:3" x14ac:dyDescent="0.35">
      <c r="A239" s="2" t="str">
        <f>CONCATENATE([21]TAB6_HA!A8,"f")</f>
        <v>2024f</v>
      </c>
      <c r="B239" s="9">
        <f>+[21]TAB6_HA!B8/+[21]TAB6_HA!$B$2</f>
        <v>0.92205936578171099</v>
      </c>
      <c r="C239" s="9">
        <f>+[21]TAB6_HA!C8/+[21]TAB6_HA!$C$2</f>
        <v>1.1525673853497644</v>
      </c>
    </row>
    <row r="240" spans="1:3" x14ac:dyDescent="0.35">
      <c r="A240" s="2" t="str">
        <f>CONCATENATE([21]TAB6_HA!A9,"f")</f>
        <v>2025f</v>
      </c>
      <c r="B240" s="9">
        <f>+[21]TAB6_HA!B9/+[21]TAB6_HA!$B$2</f>
        <v>1.2856747096238939</v>
      </c>
      <c r="C240" s="9">
        <f>+[21]TAB6_HA!C9/+[21]TAB6_HA!$C$2</f>
        <v>1.1721934712440623</v>
      </c>
    </row>
    <row r="241" spans="1:4" x14ac:dyDescent="0.35">
      <c r="A241" s="2" t="str">
        <f>CONCATENATE([21]TAB6_HA!A10,"f")</f>
        <v>2026f</v>
      </c>
      <c r="B241" s="9">
        <f>+[21]TAB6_HA!B10/+[21]TAB6_HA!$B$2</f>
        <v>1.3094579646017699</v>
      </c>
      <c r="C241" s="9">
        <f>+[21]TAB6_HA!C10/+[21]TAB6_HA!$C$2</f>
        <v>1.168117462166949</v>
      </c>
    </row>
    <row r="242" spans="1:4" x14ac:dyDescent="0.35">
      <c r="A242" s="2" t="str">
        <f>CONCATENATE([21]TAB6_HA!A11,"f")</f>
        <v>2027f</v>
      </c>
      <c r="B242" s="9">
        <f>+[21]TAB6_HA!B11/+[21]TAB6_HA!$B$2</f>
        <v>1.3246681415929205</v>
      </c>
      <c r="C242" s="9">
        <f>+[21]TAB6_HA!C11/+[21]TAB6_HA!$C$2</f>
        <v>1.1573844335965942</v>
      </c>
    </row>
    <row r="243" spans="1:4" x14ac:dyDescent="0.35">
      <c r="A243" s="2" t="str">
        <f>CONCATENATE([21]TAB6_HA!A12,"f")</f>
        <v>2028f</v>
      </c>
      <c r="B243" s="9">
        <f>+[21]TAB6_HA!B12/+[21]TAB6_HA!$B$2</f>
        <v>1.3744469026548676</v>
      </c>
      <c r="C243" s="9">
        <f>+[21]TAB6_HA!C12/+[21]TAB6_HA!$C$2</f>
        <v>1.1406662422536795</v>
      </c>
    </row>
    <row r="244" spans="1:4" x14ac:dyDescent="0.35">
      <c r="B244" s="9"/>
      <c r="C244" s="9"/>
    </row>
    <row r="245" spans="1:4" x14ac:dyDescent="0.35">
      <c r="A245" t="s">
        <v>88</v>
      </c>
      <c r="B245" s="9"/>
      <c r="C245" s="9"/>
    </row>
    <row r="248" spans="1:4" x14ac:dyDescent="0.35">
      <c r="A248" s="7" t="s">
        <v>81</v>
      </c>
    </row>
    <row r="249" spans="1:4" x14ac:dyDescent="0.35">
      <c r="A249" s="1" t="str">
        <f>CONCATENATE("Comparative Employment,"," ", [22]TAB7_on!B1)</f>
        <v>Comparative Employment, 2023</v>
      </c>
    </row>
    <row r="250" spans="1:4" x14ac:dyDescent="0.35">
      <c r="A250" t="s">
        <v>82</v>
      </c>
    </row>
    <row r="252" spans="1:4" s="1" customFormat="1" x14ac:dyDescent="0.35">
      <c r="A252" s="1" t="s">
        <v>83</v>
      </c>
      <c r="B252" s="1" t="s">
        <v>90</v>
      </c>
      <c r="C252" s="1" t="s">
        <v>89</v>
      </c>
      <c r="D252" s="1" t="s">
        <v>10</v>
      </c>
    </row>
    <row r="253" spans="1:4" x14ac:dyDescent="0.35">
      <c r="A253" t="s">
        <v>84</v>
      </c>
      <c r="B253" s="9">
        <f>+[23]TAB7_ha!B3</f>
        <v>0.2149759159327721</v>
      </c>
      <c r="C253" s="9">
        <f>+[22]TAB7_on!B3</f>
        <v>0.20039654504804422</v>
      </c>
      <c r="D253" s="9">
        <f>+[24]TAB7_k!B3</f>
        <v>0.20485928774063367</v>
      </c>
    </row>
    <row r="254" spans="1:4" x14ac:dyDescent="0.35">
      <c r="A254" t="s">
        <v>14</v>
      </c>
      <c r="B254" s="9">
        <f>+[23]TAB7_ha!B4</f>
        <v>0.26378658955482209</v>
      </c>
      <c r="C254" s="9">
        <f>+[22]TAB7_on!B4</f>
        <v>0.30298604302171045</v>
      </c>
      <c r="D254" s="9">
        <f>+[24]TAB7_k!B4</f>
        <v>0.27388265923101462</v>
      </c>
    </row>
    <row r="255" spans="1:4" x14ac:dyDescent="0.35">
      <c r="A255" t="s">
        <v>85</v>
      </c>
      <c r="B255" s="9">
        <f>+[23]TAB7_ha!B5</f>
        <v>4.1649493011710711E-2</v>
      </c>
      <c r="C255" s="9">
        <f>+[22]TAB7_on!B5</f>
        <v>5.0147002306358553E-2</v>
      </c>
      <c r="D255" s="9">
        <f>+[24]TAB7_k!B5</f>
        <v>5.0787629570137625E-2</v>
      </c>
    </row>
    <row r="256" spans="1:4" x14ac:dyDescent="0.35">
      <c r="A256" t="s">
        <v>86</v>
      </c>
      <c r="B256" s="9">
        <f>+[23]TAB7_ha!B6</f>
        <v>0.15815818921971456</v>
      </c>
      <c r="C256" s="9">
        <f>+[22]TAB7_on!B6</f>
        <v>0.14195345074219926</v>
      </c>
      <c r="D256" s="9">
        <f>+[24]TAB7_k!B6</f>
        <v>0.14733522971888688</v>
      </c>
    </row>
    <row r="257" spans="1:4" x14ac:dyDescent="0.35">
      <c r="A257" t="s">
        <v>24</v>
      </c>
      <c r="B257" s="9">
        <f>+[23]TAB7_ha!B7</f>
        <v>0.21896667104357448</v>
      </c>
      <c r="C257" s="9">
        <f>+[22]TAB7_on!B7</f>
        <v>0.19409228395301412</v>
      </c>
      <c r="D257" s="9">
        <f>+[24]TAB7_k!B7</f>
        <v>0.20633036002752841</v>
      </c>
    </row>
    <row r="258" spans="1:4" x14ac:dyDescent="0.35">
      <c r="A258" t="s">
        <v>103</v>
      </c>
      <c r="B258" s="9">
        <f>+[23]TAB7_ha!B8</f>
        <v>0.1024631412374061</v>
      </c>
      <c r="C258" s="9">
        <f>+[22]TAB7_on!B8</f>
        <v>0.11042467492867351</v>
      </c>
      <c r="D258" s="9">
        <f>+[24]TAB7_k!B8</f>
        <v>0.11680483371179863</v>
      </c>
    </row>
    <row r="259" spans="1:4" s="1" customFormat="1" x14ac:dyDescent="0.35">
      <c r="A259" s="1" t="s">
        <v>12</v>
      </c>
      <c r="B259" s="29">
        <f>+[23]TAB7_ha!B2</f>
        <v>1</v>
      </c>
      <c r="C259" s="29">
        <f>+[22]TAB7_on!B2</f>
        <v>1</v>
      </c>
      <c r="D259" s="29">
        <f>+[24]TAB7_k!B2</f>
        <v>1</v>
      </c>
    </row>
    <row r="260" spans="1:4" s="1" customFormat="1" x14ac:dyDescent="0.35">
      <c r="B260" s="29"/>
      <c r="C260" s="29"/>
      <c r="D260" s="29"/>
    </row>
    <row r="261" spans="1:4" s="1" customFormat="1" x14ac:dyDescent="0.35">
      <c r="A261" t="s">
        <v>101</v>
      </c>
      <c r="B261" s="29"/>
      <c r="C261" s="29"/>
      <c r="D261" s="29"/>
    </row>
    <row r="262" spans="1:4" x14ac:dyDescent="0.35">
      <c r="A262" t="s">
        <v>102</v>
      </c>
    </row>
    <row r="263" spans="1:4" x14ac:dyDescent="0.35">
      <c r="A263" t="s">
        <v>72</v>
      </c>
    </row>
    <row r="266" spans="1:4" x14ac:dyDescent="0.35">
      <c r="A266" s="7" t="s">
        <v>87</v>
      </c>
    </row>
    <row r="267" spans="1:4" x14ac:dyDescent="0.35">
      <c r="A267" s="1" t="s">
        <v>9</v>
      </c>
    </row>
    <row r="268" spans="1:4" x14ac:dyDescent="0.35">
      <c r="A268" t="str">
        <f>_xlfn.CONCAT("(",A270,"=1.0",")")</f>
        <v>(2018=1.0)</v>
      </c>
    </row>
    <row r="269" spans="1:4" x14ac:dyDescent="0.35">
      <c r="B269" t="s">
        <v>90</v>
      </c>
      <c r="C269" t="s">
        <v>10</v>
      </c>
    </row>
    <row r="270" spans="1:4" x14ac:dyDescent="0.35">
      <c r="A270" s="30" t="str">
        <f>+[25]tab2_ha!A2</f>
        <v>2018</v>
      </c>
      <c r="B270" s="9">
        <f>+[25]tab2_ha!C2/[25]tab2_ha!$C$2</f>
        <v>1</v>
      </c>
      <c r="C270" s="9">
        <f>+[25]tab2_ha!B2/[25]tab2_ha!$B$2</f>
        <v>1</v>
      </c>
    </row>
    <row r="271" spans="1:4" x14ac:dyDescent="0.35">
      <c r="A271" s="30" t="str">
        <f>+[25]tab2_ha!A3</f>
        <v>2019</v>
      </c>
      <c r="B271" s="9">
        <f>+[25]tab2_ha!C3/[25]tab2_ha!$C$2</f>
        <v>1.0181026018654886</v>
      </c>
      <c r="C271" s="9">
        <f>+[25]tab2_ha!B3/[25]tab2_ha!$B$2</f>
        <v>1.0205840436508802</v>
      </c>
    </row>
    <row r="272" spans="1:4" x14ac:dyDescent="0.35">
      <c r="A272" s="30" t="str">
        <f>+[25]tab2_ha!A4</f>
        <v>2020</v>
      </c>
      <c r="B272" s="9">
        <f>+[25]tab2_ha!C4/[25]tab2_ha!$C$2</f>
        <v>0.94274668630338732</v>
      </c>
      <c r="C272" s="9">
        <f>+[25]tab2_ha!B4/[25]tab2_ha!$B$2</f>
        <v>0.96359549341948658</v>
      </c>
    </row>
    <row r="273" spans="1:3" x14ac:dyDescent="0.35">
      <c r="A273" s="30" t="str">
        <f>+[25]tab2_ha!A5</f>
        <v>2021</v>
      </c>
      <c r="B273" s="9">
        <f>+[25]tab2_ha!C5/[25]tab2_ha!$C$2</f>
        <v>1.0055228276877761</v>
      </c>
      <c r="C273" s="9">
        <f>+[25]tab2_ha!B5/[25]tab2_ha!$B$2</f>
        <v>1.0117897065543509</v>
      </c>
    </row>
    <row r="274" spans="1:3" x14ac:dyDescent="0.35">
      <c r="A274" s="30" t="str">
        <f>+[25]tab2_ha!A6</f>
        <v>2022</v>
      </c>
      <c r="B274" s="9">
        <f>+[25]tab2_ha!C6/[25]tab2_ha!$C$2</f>
        <v>1.0274914089347078</v>
      </c>
      <c r="C274" s="9">
        <f>+[25]tab2_ha!B6/[25]tab2_ha!$B$2</f>
        <v>1.0518383123415718</v>
      </c>
    </row>
    <row r="275" spans="1:3" x14ac:dyDescent="0.35">
      <c r="A275" s="30" t="str">
        <f>+[25]tab2_ha!A7</f>
        <v>2023</v>
      </c>
      <c r="B275" s="9">
        <f>+[25]tab2_ha!C7/[25]tab2_ha!$C$2</f>
        <v>1.016323024054983</v>
      </c>
      <c r="C275" s="9">
        <f>+[25]tab2_ha!B7/[25]tab2_ha!$B$2</f>
        <v>1.0775890568457229</v>
      </c>
    </row>
    <row r="276" spans="1:3" x14ac:dyDescent="0.35">
      <c r="A276" s="30" t="str">
        <f>CONCATENATE([25]tab2_ha!A8,"f")</f>
        <v>2024f</v>
      </c>
      <c r="B276" s="9">
        <f>+[25]tab2_ha!C8/[25]tab2_ha!$C$2</f>
        <v>1.034281848306333</v>
      </c>
      <c r="C276" s="9">
        <f>+[25]tab2_ha!B8/[25]tab2_ha!$B$2</f>
        <v>1.0950395311348011</v>
      </c>
    </row>
    <row r="277" spans="1:3" x14ac:dyDescent="0.35">
      <c r="A277" s="30" t="str">
        <f>CONCATENATE([25]tab2_ha!A9,"f")</f>
        <v>2025f</v>
      </c>
      <c r="B277" s="9">
        <f>+[25]tab2_ha!C9/[25]tab2_ha!$C$2</f>
        <v>1.0433199558173785</v>
      </c>
      <c r="C277" s="9">
        <f>+[25]tab2_ha!B9/[25]tab2_ha!$B$2</f>
        <v>1.1150201404335278</v>
      </c>
    </row>
    <row r="278" spans="1:3" x14ac:dyDescent="0.35">
      <c r="A278" s="30" t="str">
        <f>CONCATENATE([25]tab2_ha!A10,"f")</f>
        <v>2026f</v>
      </c>
      <c r="B278" s="9">
        <f>+[25]tab2_ha!C10/[25]tab2_ha!$C$2</f>
        <v>1.0634135370643103</v>
      </c>
      <c r="C278" s="9">
        <f>+[25]tab2_ha!B10/[25]tab2_ha!$B$2</f>
        <v>1.1340730394946494</v>
      </c>
    </row>
    <row r="279" spans="1:3" x14ac:dyDescent="0.35">
      <c r="A279" s="30" t="str">
        <f>CONCATENATE([25]tab2_ha!A11,"f")</f>
        <v>2027f</v>
      </c>
      <c r="B279" s="9">
        <f>+[25]tab2_ha!C11/[25]tab2_ha!$C$2</f>
        <v>1.075960787923417</v>
      </c>
      <c r="C279" s="9">
        <f>+[25]tab2_ha!B11/[25]tab2_ha!$B$2</f>
        <v>1.1477856646743514</v>
      </c>
    </row>
    <row r="280" spans="1:3" x14ac:dyDescent="0.35">
      <c r="A280" s="30" t="str">
        <f>CONCATENATE([25]tab2_ha!A12,"f")</f>
        <v>2028f</v>
      </c>
      <c r="B280" s="9">
        <f>+[25]tab2_ha!C12/[25]tab2_ha!$C$2</f>
        <v>1.0870552896416299</v>
      </c>
      <c r="C280" s="9">
        <f>+[25]tab2_ha!B12/[25]tab2_ha!$B$2</f>
        <v>1.1586789851161463</v>
      </c>
    </row>
    <row r="282" spans="1:3" x14ac:dyDescent="0.35">
      <c r="A282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477E-CDBD-41F6-97FD-03BF8F2BE939}">
  <dimension ref="A1:C5"/>
  <sheetViews>
    <sheetView workbookViewId="0">
      <selection activeCell="B4" sqref="B4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3" ht="18.5" x14ac:dyDescent="0.45">
      <c r="A1" s="6" t="s">
        <v>17</v>
      </c>
    </row>
    <row r="2" spans="1:3" s="1" customFormat="1" x14ac:dyDescent="0.35"/>
    <row r="4" spans="1:3" x14ac:dyDescent="0.35">
      <c r="A4" s="1" t="s">
        <v>0</v>
      </c>
      <c r="B4" s="9" t="str">
        <f>[5]Sheet1!$B$31</f>
        <v>AAA</v>
      </c>
      <c r="C4" s="9"/>
    </row>
    <row r="5" spans="1:3" x14ac:dyDescent="0.35">
      <c r="A5" t="s">
        <v>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7D248-5507-4D25-AD41-EF0CBC59242C}">
  <dimension ref="A1:B9"/>
  <sheetViews>
    <sheetView topLeftCell="A2" workbookViewId="0">
      <selection activeCell="A7" sqref="A7:B8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2" ht="18.5" x14ac:dyDescent="0.45">
      <c r="A1" s="6" t="s">
        <v>17</v>
      </c>
    </row>
    <row r="2" spans="1:2" s="1" customFormat="1" x14ac:dyDescent="0.35"/>
    <row r="4" spans="1:2" x14ac:dyDescent="0.35">
      <c r="A4" s="1" t="s">
        <v>19</v>
      </c>
      <c r="B4" s="1"/>
    </row>
    <row r="5" spans="1:2" x14ac:dyDescent="0.35">
      <c r="A5" t="s">
        <v>106</v>
      </c>
      <c r="B5" s="1"/>
    </row>
    <row r="6" spans="1:2" x14ac:dyDescent="0.35">
      <c r="A6" s="1"/>
      <c r="B6" s="1"/>
    </row>
    <row r="7" spans="1:2" x14ac:dyDescent="0.35">
      <c r="A7" t="str">
        <f>_xlfn.CONCAT("Homeownership (",[6]data!$B$2,")")</f>
        <v>Homeownership (2023)</v>
      </c>
      <c r="B7" s="9">
        <f>[6]data!$C$16</f>
        <v>1.2878174522326846</v>
      </c>
    </row>
    <row r="8" spans="1:2" x14ac:dyDescent="0.35">
      <c r="A8" t="str">
        <f>_xlfn.CONCAT("Rental (", [6]data!$F$2,")")</f>
        <v>Rental (Oct. 2023)</v>
      </c>
      <c r="B8" s="9">
        <f>[6]data!$G$16</f>
        <v>1.1898454746136866</v>
      </c>
    </row>
    <row r="9" spans="1:2" x14ac:dyDescent="0.35">
      <c r="B9" s="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E8C1-54AD-4A4D-894A-6207E4B6778F}">
  <dimension ref="A1:R29"/>
  <sheetViews>
    <sheetView topLeftCell="A5" workbookViewId="0">
      <selection activeCell="A6" sqref="A6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18" ht="18.5" x14ac:dyDescent="0.45">
      <c r="A1" s="6" t="s">
        <v>17</v>
      </c>
    </row>
    <row r="2" spans="1:18" s="1" customFormat="1" x14ac:dyDescent="0.35"/>
    <row r="4" spans="1:18" x14ac:dyDescent="0.35">
      <c r="A4" s="3" t="s">
        <v>2</v>
      </c>
      <c r="B4" s="43" t="str">
        <f>+[2]tab1_ha!E1</f>
        <v>2021</v>
      </c>
      <c r="C4" s="43" t="str">
        <f>+[2]tab1_ha!F1</f>
        <v>2022</v>
      </c>
      <c r="D4" s="43" t="str">
        <f>+[2]tab1_ha!G1</f>
        <v>2023</v>
      </c>
      <c r="E4" s="43" t="str">
        <f>+[2]tab1_ha!H1</f>
        <v>2024</v>
      </c>
      <c r="F4" s="43" t="str">
        <f>+[2]tab1_ha!I1</f>
        <v>2025</v>
      </c>
      <c r="G4" s="43" t="str">
        <f>+[2]tab1_ha!J1</f>
        <v>2026</v>
      </c>
      <c r="H4" s="43" t="str">
        <f>+[2]tab1_ha!K1</f>
        <v>2027</v>
      </c>
      <c r="I4" s="43" t="str">
        <f>+[2]tab1_ha!L1</f>
        <v>2028</v>
      </c>
    </row>
    <row r="5" spans="1:18" x14ac:dyDescent="0.35">
      <c r="A5" s="37" t="s">
        <v>111</v>
      </c>
      <c r="B5" s="4">
        <f>+[2]tab1_ha!E2</f>
        <v>33524.628809907488</v>
      </c>
      <c r="C5" s="4">
        <f>+[2]tab1_ha!F2</f>
        <v>34294.870066256786</v>
      </c>
      <c r="D5" s="4">
        <f>+[2]tab1_ha!G2</f>
        <v>34365.013181835398</v>
      </c>
      <c r="E5" s="44">
        <f>+[2]tab1_ha!H2</f>
        <v>34473.824999999997</v>
      </c>
      <c r="F5" s="44">
        <f>+[2]tab1_ha!I2</f>
        <v>35352</v>
      </c>
      <c r="G5" s="44">
        <f>+[2]tab1_ha!J2</f>
        <v>36250.192499999997</v>
      </c>
      <c r="H5" s="44">
        <f>+[2]tab1_ha!K2</f>
        <v>37171.565000000002</v>
      </c>
      <c r="I5" s="44">
        <f>+[2]tab1_ha!L2</f>
        <v>38078.160000000003</v>
      </c>
      <c r="K5" s="4"/>
      <c r="L5" s="4"/>
      <c r="M5" s="4"/>
      <c r="N5" s="4"/>
      <c r="O5" s="4"/>
      <c r="P5" s="4"/>
      <c r="Q5" s="4"/>
      <c r="R5" s="4"/>
    </row>
    <row r="6" spans="1:18" x14ac:dyDescent="0.35">
      <c r="A6" s="38"/>
      <c r="B6" s="38">
        <f>+[2]tab1_ha!E3</f>
        <v>4.0733310503878961</v>
      </c>
      <c r="C6" s="38">
        <f>+[2]tab1_ha!F3</f>
        <v>2.2975385073366494</v>
      </c>
      <c r="D6" s="38">
        <f>+[2]tab1_ha!G3</f>
        <v>0.20452946881879264</v>
      </c>
      <c r="E6" s="45">
        <f>+[2]tab1_ha!H3</f>
        <v>0.31663546173790191</v>
      </c>
      <c r="F6" s="45">
        <f>+[2]tab1_ha!I3</f>
        <v>2.5473674592245032</v>
      </c>
      <c r="G6" s="45">
        <f>+[2]tab1_ha!J3</f>
        <v>2.540711982348931</v>
      </c>
      <c r="H6" s="45">
        <f>+[2]tab1_ha!K3</f>
        <v>2.5417037440560009</v>
      </c>
      <c r="I6" s="45">
        <f>+[2]tab1_ha!L3</f>
        <v>2.4389476203113825</v>
      </c>
      <c r="K6" s="49">
        <f t="shared" ref="K6:R6" si="0">B5</f>
        <v>33524.628809907488</v>
      </c>
      <c r="L6" s="49">
        <f t="shared" si="0"/>
        <v>34294.870066256786</v>
      </c>
      <c r="M6" s="49">
        <f t="shared" si="0"/>
        <v>34365.013181835398</v>
      </c>
      <c r="N6" s="49">
        <f t="shared" si="0"/>
        <v>34473.824999999997</v>
      </c>
      <c r="O6" s="49">
        <f t="shared" si="0"/>
        <v>35352</v>
      </c>
      <c r="P6" s="49">
        <f t="shared" si="0"/>
        <v>36250.192499999997</v>
      </c>
      <c r="Q6" s="49">
        <f t="shared" si="0"/>
        <v>37171.565000000002</v>
      </c>
      <c r="R6" s="49">
        <f t="shared" si="0"/>
        <v>38078.160000000003</v>
      </c>
    </row>
    <row r="7" spans="1:18" x14ac:dyDescent="0.35">
      <c r="A7" s="37" t="s">
        <v>3</v>
      </c>
      <c r="B7" s="4">
        <f>+[2]tab1_ha!E4</f>
        <v>409.65</v>
      </c>
      <c r="C7" s="4">
        <f>+[2]tab1_ha!F4</f>
        <v>418.59999999999997</v>
      </c>
      <c r="D7" s="4">
        <f>+[2]tab1_ha!G4</f>
        <v>414.05</v>
      </c>
      <c r="E7" s="44">
        <f>+[2]tab1_ha!H4</f>
        <v>421.36642499999999</v>
      </c>
      <c r="F7" s="44">
        <f>+[2]tab1_ha!I4</f>
        <v>425.04854999999998</v>
      </c>
      <c r="G7" s="44">
        <f>+[2]tab1_ha!J4</f>
        <v>433.23467499999998</v>
      </c>
      <c r="H7" s="44">
        <f>+[2]tab1_ha!K4</f>
        <v>438.34642500000001</v>
      </c>
      <c r="I7" s="44">
        <f>+[2]tab1_ha!L4</f>
        <v>442.86632500000002</v>
      </c>
      <c r="K7" s="49">
        <f t="shared" ref="K7:R7" si="1">B7</f>
        <v>409.65</v>
      </c>
      <c r="L7" s="49">
        <f t="shared" si="1"/>
        <v>418.59999999999997</v>
      </c>
      <c r="M7" s="49">
        <f t="shared" si="1"/>
        <v>414.05</v>
      </c>
      <c r="N7" s="49">
        <f t="shared" si="1"/>
        <v>421.36642499999999</v>
      </c>
      <c r="O7" s="49">
        <f t="shared" si="1"/>
        <v>425.04854999999998</v>
      </c>
      <c r="P7" s="49">
        <f t="shared" si="1"/>
        <v>433.23467499999998</v>
      </c>
      <c r="Q7" s="49">
        <f t="shared" si="1"/>
        <v>438.34642500000001</v>
      </c>
      <c r="R7" s="49">
        <f t="shared" si="1"/>
        <v>442.86632500000002</v>
      </c>
    </row>
    <row r="8" spans="1:18" x14ac:dyDescent="0.35">
      <c r="A8" s="38"/>
      <c r="B8" s="38">
        <f>+[2]tab1_ha!E5</f>
        <v>6.6588556922476005</v>
      </c>
      <c r="C8" s="38">
        <f>+[2]tab1_ha!F5</f>
        <v>2.1847918955205659</v>
      </c>
      <c r="D8" s="38">
        <f>+[2]tab1_ha!G5</f>
        <v>-1.0869565217391242</v>
      </c>
      <c r="E8" s="45">
        <f>+[2]tab1_ha!H5</f>
        <v>1.7670390049510987</v>
      </c>
      <c r="F8" s="45">
        <f>+[2]tab1_ha!I5</f>
        <v>0.87385344003143572</v>
      </c>
      <c r="G8" s="45">
        <f>+[2]tab1_ha!J5</f>
        <v>1.9259270499805359</v>
      </c>
      <c r="H8" s="45">
        <f>+[2]tab1_ha!K5</f>
        <v>1.1799032475874771</v>
      </c>
      <c r="I8" s="45">
        <f>+[2]tab1_ha!L5</f>
        <v>1.0311250970051811</v>
      </c>
      <c r="K8" s="50">
        <f t="shared" ref="K8:R9" si="2">B9</f>
        <v>6.8250000000000002</v>
      </c>
      <c r="L8" s="50">
        <f t="shared" si="2"/>
        <v>4.875</v>
      </c>
      <c r="M8" s="50">
        <f t="shared" si="2"/>
        <v>5.45</v>
      </c>
      <c r="N8" s="50">
        <f t="shared" si="2"/>
        <v>6.3877027499999999</v>
      </c>
      <c r="O8" s="50">
        <f t="shared" si="2"/>
        <v>6.2016819999999999</v>
      </c>
      <c r="P8" s="50">
        <f t="shared" si="2"/>
        <v>5.9022494999999999</v>
      </c>
      <c r="Q8" s="50">
        <f t="shared" si="2"/>
        <v>5.6026782500000003</v>
      </c>
      <c r="R8" s="50">
        <f t="shared" si="2"/>
        <v>5.5030039999999998</v>
      </c>
    </row>
    <row r="9" spans="1:18" x14ac:dyDescent="0.35">
      <c r="A9" s="39" t="s">
        <v>6</v>
      </c>
      <c r="B9" s="2">
        <f>+[2]tab1_ha!E6</f>
        <v>6.8250000000000002</v>
      </c>
      <c r="C9" s="2">
        <f>+[2]tab1_ha!F6</f>
        <v>4.875</v>
      </c>
      <c r="D9" s="2">
        <f>+[2]tab1_ha!G6</f>
        <v>5.45</v>
      </c>
      <c r="E9" s="15">
        <f>+[2]tab1_ha!H6</f>
        <v>6.3877027499999999</v>
      </c>
      <c r="F9" s="15">
        <f>+[2]tab1_ha!I6</f>
        <v>6.2016819999999999</v>
      </c>
      <c r="G9" s="15">
        <f>+[2]tab1_ha!J6</f>
        <v>5.9022494999999999</v>
      </c>
      <c r="H9" s="15">
        <f>+[2]tab1_ha!K6</f>
        <v>5.6026782500000003</v>
      </c>
      <c r="I9" s="15">
        <f>+[2]tab1_ha!L6</f>
        <v>5.5030039999999998</v>
      </c>
      <c r="K9" s="49">
        <f t="shared" si="2"/>
        <v>53734.766811318259</v>
      </c>
      <c r="L9" s="49">
        <f t="shared" si="2"/>
        <v>55811.410418924228</v>
      </c>
      <c r="M9" s="49">
        <f t="shared" si="2"/>
        <v>56250.418192371857</v>
      </c>
      <c r="N9" s="49">
        <f t="shared" si="2"/>
        <v>58241.850533774712</v>
      </c>
      <c r="O9" s="49">
        <f t="shared" si="2"/>
        <v>59326.138213901635</v>
      </c>
      <c r="P9" s="49">
        <f t="shared" si="2"/>
        <v>60852.175195508076</v>
      </c>
      <c r="Q9" s="49">
        <f t="shared" si="2"/>
        <v>62222.403171555605</v>
      </c>
      <c r="R9" s="49">
        <f t="shared" si="2"/>
        <v>63669.095042996109</v>
      </c>
    </row>
    <row r="10" spans="1:18" x14ac:dyDescent="0.35">
      <c r="A10" s="37" t="s">
        <v>91</v>
      </c>
      <c r="B10" s="4">
        <f>+[2]tab1_ha!E7</f>
        <v>53734.766811318259</v>
      </c>
      <c r="C10" s="4">
        <f>+[2]tab1_ha!F7</f>
        <v>55811.410418924228</v>
      </c>
      <c r="D10" s="4">
        <f>+[2]tab1_ha!G7</f>
        <v>56250.418192371857</v>
      </c>
      <c r="E10" s="44">
        <f>+[2]tab1_ha!H7</f>
        <v>58241.850533774712</v>
      </c>
      <c r="F10" s="44">
        <f>+[2]tab1_ha!I7</f>
        <v>59326.138213901635</v>
      </c>
      <c r="G10" s="44">
        <f>+[2]tab1_ha!J7</f>
        <v>60852.175195508076</v>
      </c>
      <c r="H10" s="44">
        <f>+[2]tab1_ha!K7</f>
        <v>62222.403171555605</v>
      </c>
      <c r="I10" s="44">
        <f>+[2]tab1_ha!L7</f>
        <v>63669.095042996109</v>
      </c>
      <c r="K10" s="49">
        <f t="shared" ref="K10:R10" si="3">B12</f>
        <v>822.64012500000024</v>
      </c>
      <c r="L10" s="49">
        <f t="shared" si="3"/>
        <v>833.87500000000034</v>
      </c>
      <c r="M10" s="49">
        <f t="shared" si="3"/>
        <v>848.38107774194373</v>
      </c>
      <c r="N10" s="49">
        <f t="shared" si="3"/>
        <v>859.66980000000001</v>
      </c>
      <c r="O10" s="49">
        <f t="shared" si="3"/>
        <v>868.82505000000003</v>
      </c>
      <c r="P10" s="49">
        <f t="shared" si="3"/>
        <v>878.06475</v>
      </c>
      <c r="Q10" s="49">
        <f t="shared" si="3"/>
        <v>886.6816</v>
      </c>
      <c r="R10" s="49">
        <f t="shared" si="3"/>
        <v>894.68560000000002</v>
      </c>
    </row>
    <row r="11" spans="1:18" x14ac:dyDescent="0.35">
      <c r="A11" s="37"/>
      <c r="B11" s="10">
        <f>+[2]tab1_ha!E8</f>
        <v>3.6220059006583538</v>
      </c>
      <c r="C11" s="10">
        <f>+[2]tab1_ha!F8</f>
        <v>3.8646182552495301</v>
      </c>
      <c r="D11" s="10">
        <f>+[2]tab1_ha!G8</f>
        <v>0.78659143381685226</v>
      </c>
      <c r="E11" s="16">
        <f>+[2]tab1_ha!H8</f>
        <v>3.540297842039708</v>
      </c>
      <c r="F11" s="16">
        <f>+[2]tab1_ha!I8</f>
        <v>1.8616985384043439</v>
      </c>
      <c r="G11" s="16">
        <f>+[2]tab1_ha!J8</f>
        <v>2.5722843716951216</v>
      </c>
      <c r="H11" s="16">
        <f>+[2]tab1_ha!K8</f>
        <v>2.2517321223854525</v>
      </c>
      <c r="I11" s="16">
        <f>+[2]tab1_ha!L8</f>
        <v>2.3250337462083825</v>
      </c>
      <c r="K11" s="49">
        <f t="shared" ref="K11:R12" si="4">B14</f>
        <v>4187</v>
      </c>
      <c r="L11" s="49">
        <f t="shared" si="4"/>
        <v>3530.0000000000005</v>
      </c>
      <c r="M11" s="49">
        <f t="shared" si="4"/>
        <v>3701</v>
      </c>
      <c r="N11" s="49">
        <f t="shared" si="4"/>
        <v>3334.1666666666665</v>
      </c>
      <c r="O11" s="49">
        <f t="shared" si="4"/>
        <v>4648.9997499999999</v>
      </c>
      <c r="P11" s="49">
        <f t="shared" si="4"/>
        <v>4734.9999999999991</v>
      </c>
      <c r="Q11" s="49">
        <f t="shared" si="4"/>
        <v>4790</v>
      </c>
      <c r="R11" s="49">
        <f t="shared" si="4"/>
        <v>4970.0000000000009</v>
      </c>
    </row>
    <row r="12" spans="1:18" x14ac:dyDescent="0.35">
      <c r="A12" s="39" t="s">
        <v>4</v>
      </c>
      <c r="B12" s="4">
        <f>+[2]tab1_ha!E9</f>
        <v>822.64012500000024</v>
      </c>
      <c r="C12" s="4">
        <f>+[2]tab1_ha!F9</f>
        <v>833.87500000000034</v>
      </c>
      <c r="D12" s="4">
        <f>+[2]tab1_ha!G9</f>
        <v>848.38107774194373</v>
      </c>
      <c r="E12" s="44">
        <f>+[2]tab1_ha!H9</f>
        <v>859.66980000000001</v>
      </c>
      <c r="F12" s="44">
        <f>+[2]tab1_ha!I9</f>
        <v>868.82505000000003</v>
      </c>
      <c r="G12" s="44">
        <f>+[2]tab1_ha!J9</f>
        <v>878.06475</v>
      </c>
      <c r="H12" s="44">
        <f>+[2]tab1_ha!K9</f>
        <v>886.6816</v>
      </c>
      <c r="I12" s="44">
        <f>+[2]tab1_ha!L9</f>
        <v>894.68560000000002</v>
      </c>
      <c r="K12" s="49">
        <f t="shared" si="4"/>
        <v>13380.867230145177</v>
      </c>
      <c r="L12" s="49">
        <f t="shared" si="4"/>
        <v>14867.034748328311</v>
      </c>
      <c r="M12" s="49">
        <f t="shared" si="4"/>
        <v>14495.452276307376</v>
      </c>
      <c r="N12" s="49">
        <f t="shared" si="4"/>
        <v>15012.05</v>
      </c>
      <c r="O12" s="49">
        <f t="shared" si="4"/>
        <v>15522.914999999999</v>
      </c>
      <c r="P12" s="49">
        <f t="shared" si="4"/>
        <v>16039.807499999999</v>
      </c>
      <c r="Q12" s="49">
        <f t="shared" si="4"/>
        <v>16604.545000000002</v>
      </c>
      <c r="R12" s="49">
        <f t="shared" si="4"/>
        <v>17189.47</v>
      </c>
    </row>
    <row r="13" spans="1:18" x14ac:dyDescent="0.35">
      <c r="A13" s="39"/>
      <c r="B13" s="11">
        <f>+[2]tab1_ha!E10</f>
        <v>0.96808525164309156</v>
      </c>
      <c r="C13" s="11">
        <f>+[2]tab1_ha!F10</f>
        <v>1.365709580480301</v>
      </c>
      <c r="D13" s="11">
        <f>+[2]tab1_ha!G10</f>
        <v>1.7395985899497424</v>
      </c>
      <c r="E13" s="17">
        <f>+[2]tab1_ha!H10</f>
        <v>1.3306192882215573</v>
      </c>
      <c r="F13" s="17">
        <f>+[2]tab1_ha!I10</f>
        <v>1.0649728535305103</v>
      </c>
      <c r="G13" s="17">
        <f>+[2]tab1_ha!J10</f>
        <v>1.0634707182993752</v>
      </c>
      <c r="H13" s="17">
        <f>+[2]tab1_ha!K10</f>
        <v>0.98134562399867509</v>
      </c>
      <c r="I13" s="17">
        <f>+[2]tab1_ha!L10</f>
        <v>0.90269156369096049</v>
      </c>
      <c r="K13" s="51">
        <f t="shared" ref="K13:R13" si="5">B17</f>
        <v>1.4317500000000001</v>
      </c>
      <c r="L13" s="51">
        <f t="shared" si="5"/>
        <v>1.5290833333333331</v>
      </c>
      <c r="M13" s="51">
        <f t="shared" si="5"/>
        <v>1.586916666666667</v>
      </c>
      <c r="N13" s="51">
        <f t="shared" si="5"/>
        <v>1.6296553580089848</v>
      </c>
      <c r="O13" s="51">
        <f t="shared" si="5"/>
        <v>1.663953130863796</v>
      </c>
      <c r="P13" s="51">
        <f t="shared" si="5"/>
        <v>1.6974468491408548</v>
      </c>
      <c r="Q13" s="51">
        <f t="shared" si="5"/>
        <v>1.7311737574553117</v>
      </c>
      <c r="R13" s="51">
        <f t="shared" si="5"/>
        <v>1.7656775957285404</v>
      </c>
    </row>
    <row r="14" spans="1:18" x14ac:dyDescent="0.35">
      <c r="A14" s="39" t="s">
        <v>20</v>
      </c>
      <c r="B14" s="4">
        <f>+[2]tab1_ha!E11</f>
        <v>4187</v>
      </c>
      <c r="C14" s="4">
        <f>+[2]tab1_ha!F11</f>
        <v>3530.0000000000005</v>
      </c>
      <c r="D14" s="4">
        <f>+[2]tab1_ha!G11</f>
        <v>3701</v>
      </c>
      <c r="E14" s="44">
        <f>+[2]tab1_ha!H11</f>
        <v>3334.1666666666665</v>
      </c>
      <c r="F14" s="44">
        <f>+[2]tab1_ha!I11</f>
        <v>4648.9997499999999</v>
      </c>
      <c r="G14" s="44">
        <f>+[2]tab1_ha!J11</f>
        <v>4734.9999999999991</v>
      </c>
      <c r="H14" s="44">
        <f>+[2]tab1_ha!K11</f>
        <v>4790</v>
      </c>
      <c r="I14" s="44">
        <f>+[2]tab1_ha!L11</f>
        <v>4970.0000000000009</v>
      </c>
    </row>
    <row r="15" spans="1:18" x14ac:dyDescent="0.35">
      <c r="A15" s="37" t="s">
        <v>5</v>
      </c>
      <c r="B15" s="4">
        <f>+[2]tab1_ha!E12</f>
        <v>13380.867230145177</v>
      </c>
      <c r="C15" s="4">
        <f>+[2]tab1_ha!F12</f>
        <v>14867.034748328311</v>
      </c>
      <c r="D15" s="4">
        <f>+[2]tab1_ha!G12</f>
        <v>14495.452276307376</v>
      </c>
      <c r="E15" s="44">
        <f>+[2]tab1_ha!H12</f>
        <v>15012.05</v>
      </c>
      <c r="F15" s="44">
        <f>+[2]tab1_ha!I12</f>
        <v>15522.914999999999</v>
      </c>
      <c r="G15" s="44">
        <f>+[2]tab1_ha!J12</f>
        <v>16039.807499999999</v>
      </c>
      <c r="H15" s="44">
        <f>+[2]tab1_ha!K12</f>
        <v>16604.545000000002</v>
      </c>
      <c r="I15" s="44">
        <f>+[2]tab1_ha!L12</f>
        <v>17189.47</v>
      </c>
      <c r="K15" s="52">
        <f>B6</f>
        <v>4.0733310503878961</v>
      </c>
      <c r="L15" s="52">
        <f>B8</f>
        <v>6.6588556922476005</v>
      </c>
      <c r="M15" s="52">
        <f>+B11</f>
        <v>3.6220059006583538</v>
      </c>
      <c r="N15" s="52">
        <f>+B13</f>
        <v>0.96808525164309156</v>
      </c>
      <c r="O15" s="52">
        <f>+B16</f>
        <v>9.1550174590936617</v>
      </c>
      <c r="P15" s="52">
        <f>+B18</f>
        <v>3.4750662490966144</v>
      </c>
    </row>
    <row r="16" spans="1:18" x14ac:dyDescent="0.35">
      <c r="A16" s="38"/>
      <c r="B16" s="38">
        <f>+[2]tab1_ha!E13</f>
        <v>9.1550174590936617</v>
      </c>
      <c r="C16" s="38">
        <f>+[2]tab1_ha!F13</f>
        <v>11.10666067170154</v>
      </c>
      <c r="D16" s="38">
        <f>+[2]tab1_ha!G13</f>
        <v>-2.4993717867156873</v>
      </c>
      <c r="E16" s="45">
        <f>+[2]tab1_ha!H13</f>
        <v>3.5638606774415438</v>
      </c>
      <c r="F16" s="45">
        <f>+[2]tab1_ha!I13</f>
        <v>3.4030328969061552</v>
      </c>
      <c r="G16" s="45">
        <f>+[2]tab1_ha!J13</f>
        <v>3.3298674894502778</v>
      </c>
      <c r="H16" s="45">
        <f>+[2]tab1_ha!K13</f>
        <v>3.5208496111939214</v>
      </c>
      <c r="I16" s="45">
        <f>+[2]tab1_ha!L13</f>
        <v>3.5226800854826212</v>
      </c>
      <c r="K16" s="52">
        <f>+C6</f>
        <v>2.2975385073366494</v>
      </c>
      <c r="L16" s="52">
        <f>+C8</f>
        <v>2.1847918955205659</v>
      </c>
      <c r="M16" s="52">
        <f>+C11</f>
        <v>3.8646182552495301</v>
      </c>
      <c r="N16" s="52">
        <f>+C13</f>
        <v>1.365709580480301</v>
      </c>
      <c r="O16" s="52">
        <f>+C16</f>
        <v>11.10666067170154</v>
      </c>
      <c r="P16" s="52">
        <f>+C18</f>
        <v>6.7982073220417716</v>
      </c>
    </row>
    <row r="17" spans="1:16" x14ac:dyDescent="0.35">
      <c r="A17" s="40" t="s">
        <v>21</v>
      </c>
      <c r="B17" s="46">
        <f>+[2]tab1_ha!E14</f>
        <v>1.4317500000000001</v>
      </c>
      <c r="C17" s="46">
        <f>+[2]tab1_ha!F14</f>
        <v>1.5290833333333331</v>
      </c>
      <c r="D17" s="46">
        <f>+[2]tab1_ha!G14</f>
        <v>1.586916666666667</v>
      </c>
      <c r="E17" s="47">
        <f>+[2]tab1_ha!H14</f>
        <v>1.6296553580089848</v>
      </c>
      <c r="F17" s="47">
        <f>+[2]tab1_ha!I14</f>
        <v>1.663953130863796</v>
      </c>
      <c r="G17" s="47">
        <f>+[2]tab1_ha!J14</f>
        <v>1.6974468491408548</v>
      </c>
      <c r="H17" s="47">
        <f>+[2]tab1_ha!K14</f>
        <v>1.7311737574553117</v>
      </c>
      <c r="I17" s="47">
        <f>+[2]tab1_ha!L14</f>
        <v>1.7656775957285404</v>
      </c>
      <c r="K17" s="52">
        <f>D6</f>
        <v>0.20452946881879264</v>
      </c>
      <c r="L17" s="52">
        <f>+D8</f>
        <v>-1.0869565217391242</v>
      </c>
      <c r="M17" s="52">
        <f>+D11</f>
        <v>0.78659143381685226</v>
      </c>
      <c r="N17" s="52">
        <f>+D13</f>
        <v>1.7395985899497424</v>
      </c>
      <c r="O17" s="52">
        <f>+D16</f>
        <v>-2.4993717867156873</v>
      </c>
      <c r="P17" s="52">
        <f>+D18</f>
        <v>3.7822224644395108</v>
      </c>
    </row>
    <row r="18" spans="1:16" x14ac:dyDescent="0.35">
      <c r="A18" s="38"/>
      <c r="B18" s="38">
        <f>+[2]tab1_ha!E15</f>
        <v>3.4750662490966144</v>
      </c>
      <c r="C18" s="38">
        <f>+[2]tab1_ha!F15</f>
        <v>6.7982073220417716</v>
      </c>
      <c r="D18" s="38">
        <f>+[2]tab1_ha!G15</f>
        <v>3.7822224644395108</v>
      </c>
      <c r="E18" s="45">
        <f>+[2]tab1_ha!H15</f>
        <v>2.6931906532994487</v>
      </c>
      <c r="F18" s="45">
        <f>+[2]tab1_ha!I15</f>
        <v>2.104602834351077</v>
      </c>
      <c r="G18" s="45">
        <f>+[2]tab1_ha!J15</f>
        <v>2.0129003429123937</v>
      </c>
      <c r="H18" s="45">
        <f>+[2]tab1_ha!K15</f>
        <v>1.9869198456215154</v>
      </c>
      <c r="I18" s="45">
        <f>+[2]tab1_ha!L15</f>
        <v>1.9930892623942542</v>
      </c>
      <c r="K18" s="52">
        <f>+E6</f>
        <v>0.31663546173790191</v>
      </c>
      <c r="L18" s="52">
        <f>+E8</f>
        <v>1.7670390049510987</v>
      </c>
      <c r="M18" s="52">
        <f>+E11</f>
        <v>3.540297842039708</v>
      </c>
      <c r="N18" s="52">
        <f>+E13</f>
        <v>1.3306192882215573</v>
      </c>
      <c r="O18" s="52">
        <f>+E16</f>
        <v>3.5638606774415438</v>
      </c>
      <c r="P18" s="52">
        <f>+E18</f>
        <v>2.6931906532994487</v>
      </c>
    </row>
    <row r="19" spans="1:16" x14ac:dyDescent="0.35">
      <c r="K19" s="52">
        <f>+F6</f>
        <v>2.5473674592245032</v>
      </c>
      <c r="L19" s="52">
        <f>+F8</f>
        <v>0.87385344003143572</v>
      </c>
      <c r="M19" s="52">
        <f>+F11</f>
        <v>1.8616985384043439</v>
      </c>
      <c r="N19" s="52">
        <f>+F13</f>
        <v>1.0649728535305103</v>
      </c>
      <c r="O19" s="52">
        <f>+F16</f>
        <v>3.4030328969061552</v>
      </c>
      <c r="P19" s="52">
        <f>+F18</f>
        <v>2.104602834351077</v>
      </c>
    </row>
    <row r="20" spans="1:16" x14ac:dyDescent="0.35">
      <c r="A20" s="5" t="s">
        <v>22</v>
      </c>
      <c r="K20" s="52">
        <f>+G6</f>
        <v>2.540711982348931</v>
      </c>
      <c r="L20" s="52">
        <f>+G8</f>
        <v>1.9259270499805359</v>
      </c>
      <c r="M20" s="52">
        <f>+G11</f>
        <v>2.5722843716951216</v>
      </c>
      <c r="N20" s="52">
        <f>+G13</f>
        <v>1.0634707182993752</v>
      </c>
      <c r="O20" s="52">
        <f>+G16</f>
        <v>3.3298674894502778</v>
      </c>
      <c r="P20" s="52">
        <f>+G18</f>
        <v>2.0129003429123937</v>
      </c>
    </row>
    <row r="21" spans="1:16" x14ac:dyDescent="0.35">
      <c r="A21" s="5"/>
      <c r="K21" s="52">
        <f>+H6</f>
        <v>2.5417037440560009</v>
      </c>
      <c r="L21" s="52">
        <f>+H8</f>
        <v>1.1799032475874771</v>
      </c>
      <c r="M21" s="52">
        <f>+H11</f>
        <v>2.2517321223854525</v>
      </c>
      <c r="N21" s="52">
        <f>+H13</f>
        <v>0.98134562399867509</v>
      </c>
      <c r="O21" s="52">
        <f>+H16</f>
        <v>3.5208496111939214</v>
      </c>
      <c r="P21" s="52">
        <f>+H18</f>
        <v>1.9869198456215154</v>
      </c>
    </row>
    <row r="22" spans="1:16" x14ac:dyDescent="0.35">
      <c r="B22" s="2" t="str">
        <f>$B$4</f>
        <v>2021</v>
      </c>
      <c r="C22" s="2"/>
      <c r="D22" s="2"/>
      <c r="E22" s="2"/>
      <c r="F22" s="2"/>
      <c r="G22" s="2"/>
      <c r="H22" s="2"/>
      <c r="I22" s="2"/>
      <c r="K22" s="52">
        <f>+I6</f>
        <v>2.4389476203113825</v>
      </c>
      <c r="L22" s="52">
        <f>+I8</f>
        <v>1.0311250970051811</v>
      </c>
      <c r="M22" s="52">
        <f>+I11</f>
        <v>2.3250337462083825</v>
      </c>
      <c r="N22" s="52">
        <f>+I13</f>
        <v>0.90269156369096049</v>
      </c>
      <c r="O22" s="52">
        <f>+I16</f>
        <v>3.5226800854826212</v>
      </c>
      <c r="P22" s="52">
        <f>+I18</f>
        <v>1.9930892623942542</v>
      </c>
    </row>
    <row r="23" spans="1:16" x14ac:dyDescent="0.35">
      <c r="B23" s="2" t="str">
        <f>$C$4</f>
        <v>2022</v>
      </c>
      <c r="C23" s="2"/>
      <c r="D23" s="2"/>
      <c r="E23" s="2"/>
      <c r="F23" s="2"/>
      <c r="G23" s="2"/>
      <c r="H23" s="2"/>
      <c r="I23" s="2"/>
    </row>
    <row r="24" spans="1:16" x14ac:dyDescent="0.35">
      <c r="B24" s="2" t="str">
        <f>_xlfn.CONCAT($D$4)</f>
        <v>2023</v>
      </c>
      <c r="C24" s="2" t="str">
        <f>_xlfn.CONCAT($D$4,"e")</f>
        <v>2023e</v>
      </c>
      <c r="D24" s="2"/>
      <c r="E24" s="2"/>
      <c r="F24" s="2"/>
      <c r="G24" s="2"/>
      <c r="H24" s="2"/>
      <c r="I24" s="2"/>
    </row>
    <row r="25" spans="1:16" x14ac:dyDescent="0.35">
      <c r="B25" s="2" t="str">
        <f>_xlfn.CONCAT($E$4,"f")</f>
        <v>2024f</v>
      </c>
      <c r="C25" s="2"/>
      <c r="D25" s="2"/>
      <c r="E25" s="2"/>
      <c r="F25" s="2"/>
      <c r="G25" s="2"/>
      <c r="H25" s="2"/>
      <c r="I25" s="2"/>
    </row>
    <row r="26" spans="1:16" x14ac:dyDescent="0.35">
      <c r="B26" s="2" t="str">
        <f>_xlfn.CONCAT($F$4,"f")</f>
        <v>2025f</v>
      </c>
      <c r="C26" s="2"/>
      <c r="D26" s="2"/>
      <c r="E26" s="2"/>
      <c r="F26" s="2"/>
      <c r="G26" s="2"/>
      <c r="H26" s="2"/>
      <c r="I26" s="2"/>
    </row>
    <row r="27" spans="1:16" x14ac:dyDescent="0.35">
      <c r="B27" s="2" t="str">
        <f>_xlfn.CONCAT($G$4,"f")</f>
        <v>2026f</v>
      </c>
      <c r="C27" s="2"/>
      <c r="D27" s="2"/>
      <c r="E27" s="2"/>
      <c r="F27" s="2"/>
      <c r="G27" s="2"/>
      <c r="H27" s="2"/>
      <c r="I27" s="2"/>
    </row>
    <row r="28" spans="1:16" x14ac:dyDescent="0.35">
      <c r="B28" t="str">
        <f>_xlfn.CONCAT($H$4,"f")</f>
        <v>2027f</v>
      </c>
    </row>
    <row r="29" spans="1:16" x14ac:dyDescent="0.35">
      <c r="B29" t="str">
        <f>_xlfn.CONCAT($I$4,"f")</f>
        <v>2028f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6EA39-F94B-4A4F-A861-8B8C94A98B26}">
  <dimension ref="A1:F20"/>
  <sheetViews>
    <sheetView workbookViewId="0">
      <selection activeCell="B7" sqref="B7:F16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6" ht="18.5" x14ac:dyDescent="0.45">
      <c r="A1" s="6" t="s">
        <v>17</v>
      </c>
    </row>
    <row r="2" spans="1:6" s="1" customFormat="1" x14ac:dyDescent="0.35"/>
    <row r="4" spans="1:6" x14ac:dyDescent="0.35">
      <c r="A4" s="7" t="s">
        <v>8</v>
      </c>
    </row>
    <row r="5" spans="1:6" x14ac:dyDescent="0.35">
      <c r="A5" s="1" t="s">
        <v>23</v>
      </c>
    </row>
    <row r="6" spans="1:6" x14ac:dyDescent="0.35">
      <c r="A6" s="12"/>
      <c r="B6" t="str">
        <f>_xlfn.CONCAT('Economic Indicators'!E4, " (annual growth rate)")</f>
        <v>2024 (annual growth rate)</v>
      </c>
      <c r="F6" t="str">
        <f>_xlfn.CONCAT('Economic Indicators'!F4,"-",RIGHT('Economic Indicators'!I4,2), " (average annual compound growth rate)")</f>
        <v>2025-28 (average annual compound growth rate)</v>
      </c>
    </row>
    <row r="7" spans="1:6" x14ac:dyDescent="0.35">
      <c r="A7" t="s">
        <v>60</v>
      </c>
      <c r="B7" s="2">
        <f>[7]TAB3_ha!B2</f>
        <v>11.909960411952603</v>
      </c>
      <c r="F7" s="2">
        <f>[7]TAB3_ha!C2</f>
        <v>-0.9213107671316112</v>
      </c>
    </row>
    <row r="8" spans="1:6" x14ac:dyDescent="0.35">
      <c r="A8" t="s">
        <v>107</v>
      </c>
      <c r="B8" s="2">
        <f>[7]TAB3_ha!B3</f>
        <v>3.6521065604832925</v>
      </c>
      <c r="F8" s="2">
        <f>[7]TAB3_ha!C3</f>
        <v>1.7481906011047155</v>
      </c>
    </row>
    <row r="9" spans="1:6" x14ac:dyDescent="0.35">
      <c r="A9" t="s">
        <v>108</v>
      </c>
      <c r="B9" s="2">
        <f>[7]TAB3_ha!B4</f>
        <v>5.0035685333702284</v>
      </c>
      <c r="F9" s="2">
        <f>[7]TAB3_ha!C4</f>
        <v>1.7339593316186175</v>
      </c>
    </row>
    <row r="10" spans="1:6" x14ac:dyDescent="0.35">
      <c r="A10" t="s">
        <v>61</v>
      </c>
      <c r="B10" s="2">
        <f>[7]TAB3_ha!B5</f>
        <v>5.7425134331044569</v>
      </c>
      <c r="F10" s="2">
        <f>[7]TAB3_ha!C5</f>
        <v>0.59312128182640311</v>
      </c>
    </row>
    <row r="11" spans="1:6" x14ac:dyDescent="0.35">
      <c r="A11" t="s">
        <v>62</v>
      </c>
      <c r="B11" s="2">
        <f>[7]TAB3_ha!B6</f>
        <v>1.496525637010282</v>
      </c>
      <c r="F11" s="2">
        <f>[7]TAB3_ha!C6</f>
        <v>0.17553536146952542</v>
      </c>
    </row>
    <row r="12" spans="1:6" x14ac:dyDescent="0.35">
      <c r="A12" t="s">
        <v>63</v>
      </c>
      <c r="B12" s="2">
        <f>[7]TAB3_ha!B7</f>
        <v>8.072134715914947</v>
      </c>
      <c r="F12" s="2">
        <f>[7]TAB3_ha!C7</f>
        <v>2.1661520230319198</v>
      </c>
    </row>
    <row r="13" spans="1:6" x14ac:dyDescent="0.35">
      <c r="A13" t="s">
        <v>64</v>
      </c>
      <c r="B13" s="2">
        <f>[7]TAB3_ha!B8</f>
        <v>-3.1581975551867258</v>
      </c>
      <c r="F13" s="2">
        <f>[7]TAB3_ha!C8</f>
        <v>0.48748309718835703</v>
      </c>
    </row>
    <row r="14" spans="1:6" x14ac:dyDescent="0.35">
      <c r="A14" t="s">
        <v>109</v>
      </c>
      <c r="B14" s="2">
        <f>[7]TAB3_ha!B9</f>
        <v>12.990284821657315</v>
      </c>
      <c r="F14" s="2">
        <f>[7]TAB3_ha!C9</f>
        <v>2.0899400476560359</v>
      </c>
    </row>
    <row r="15" spans="1:6" x14ac:dyDescent="0.35">
      <c r="A15" t="s">
        <v>13</v>
      </c>
      <c r="B15" s="2">
        <f>[7]TAB3_ha!B10</f>
        <v>-8.4027975720417878</v>
      </c>
      <c r="F15" s="2">
        <f>[7]TAB3_ha!C10</f>
        <v>1.3114745275437212</v>
      </c>
    </row>
    <row r="16" spans="1:6" x14ac:dyDescent="0.35">
      <c r="A16" t="s">
        <v>12</v>
      </c>
      <c r="B16" s="2">
        <f>[7]TAB3_ha!B11</f>
        <v>1.7670390049510987</v>
      </c>
      <c r="F16" s="2">
        <f>[7]TAB3_ha!C11</f>
        <v>1.2519002721887995</v>
      </c>
    </row>
    <row r="17" spans="1:6" x14ac:dyDescent="0.35">
      <c r="B17" s="2"/>
      <c r="F17" s="2"/>
    </row>
    <row r="18" spans="1:6" x14ac:dyDescent="0.35">
      <c r="A18" t="s">
        <v>101</v>
      </c>
      <c r="B18" s="2"/>
      <c r="F18" s="2"/>
    </row>
    <row r="19" spans="1:6" x14ac:dyDescent="0.35">
      <c r="A19" t="s">
        <v>102</v>
      </c>
    </row>
    <row r="20" spans="1:6" x14ac:dyDescent="0.35">
      <c r="A20" t="s">
        <v>26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7DFBF-AEBB-42D4-8330-73A3EDAB7E24}">
  <dimension ref="A1:F20"/>
  <sheetViews>
    <sheetView workbookViewId="0">
      <selection activeCell="B7" sqref="B7:F16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6" ht="18.5" x14ac:dyDescent="0.45">
      <c r="A1" s="6" t="s">
        <v>17</v>
      </c>
    </row>
    <row r="2" spans="1:6" s="1" customFormat="1" x14ac:dyDescent="0.35"/>
    <row r="4" spans="1:6" x14ac:dyDescent="0.35">
      <c r="A4" s="7" t="s">
        <v>11</v>
      </c>
    </row>
    <row r="5" spans="1:6" x14ac:dyDescent="0.35">
      <c r="A5" s="1" t="s">
        <v>25</v>
      </c>
    </row>
    <row r="6" spans="1:6" x14ac:dyDescent="0.35">
      <c r="A6" s="12"/>
      <c r="B6" t="str">
        <f>_xlfn.CONCAT('Economic Indicators'!E4, " (annual growth rate)")</f>
        <v>2024 (annual growth rate)</v>
      </c>
      <c r="F6" t="str">
        <f>_xlfn.CONCAT('Economic Indicators'!F4,"-",RIGHT('Economic Indicators'!I4,2), " (average annual compound growth rate)")</f>
        <v>2025-28 (average annual compound growth rate)</v>
      </c>
    </row>
    <row r="7" spans="1:6" x14ac:dyDescent="0.35">
      <c r="A7" t="s">
        <v>60</v>
      </c>
      <c r="B7" s="2">
        <f>[8]TAB4_ha!B2</f>
        <v>-1.8002704009856263E-2</v>
      </c>
      <c r="F7" s="2">
        <f>[8]TAB4_ha!C2</f>
        <v>0.699974114472246</v>
      </c>
    </row>
    <row r="8" spans="1:6" x14ac:dyDescent="0.35">
      <c r="A8" t="s">
        <v>107</v>
      </c>
      <c r="B8" s="2">
        <f>[8]TAB4_ha!B3</f>
        <v>1.7609323455636927</v>
      </c>
      <c r="F8" s="2">
        <f>[8]TAB4_ha!C3</f>
        <v>2.3438512080365514</v>
      </c>
    </row>
    <row r="9" spans="1:6" x14ac:dyDescent="0.35">
      <c r="A9" t="s">
        <v>108</v>
      </c>
      <c r="B9" s="2">
        <f>[8]TAB4_ha!B4</f>
        <v>0.45992399399461537</v>
      </c>
      <c r="F9" s="2">
        <f>[8]TAB4_ha!C4</f>
        <v>2.2248938175840616</v>
      </c>
    </row>
    <row r="10" spans="1:6" x14ac:dyDescent="0.35">
      <c r="A10" t="s">
        <v>61</v>
      </c>
      <c r="B10" s="2">
        <f>[8]TAB4_ha!B5</f>
        <v>0.45454957252817341</v>
      </c>
      <c r="F10" s="2">
        <f>[8]TAB4_ha!C5</f>
        <v>2.5174791208375291</v>
      </c>
    </row>
    <row r="11" spans="1:6" x14ac:dyDescent="0.35">
      <c r="A11" t="s">
        <v>62</v>
      </c>
      <c r="B11" s="2">
        <f>[8]TAB4_ha!B6</f>
        <v>1.5160392006512424</v>
      </c>
      <c r="F11" s="2">
        <f>[8]TAB4_ha!C6</f>
        <v>1.9243284209925493</v>
      </c>
    </row>
    <row r="12" spans="1:6" x14ac:dyDescent="0.35">
      <c r="A12" t="s">
        <v>63</v>
      </c>
      <c r="B12" s="2">
        <f>[8]TAB4_ha!B7</f>
        <v>1.6093058722981946</v>
      </c>
      <c r="F12" s="2">
        <f>[8]TAB4_ha!C7</f>
        <v>3.2246794244313204</v>
      </c>
    </row>
    <row r="13" spans="1:6" x14ac:dyDescent="0.35">
      <c r="A13" t="s">
        <v>64</v>
      </c>
      <c r="B13" s="2">
        <f>[8]TAB4_ha!B8</f>
        <v>-0.99834142180063035</v>
      </c>
      <c r="F13" s="2">
        <f>[8]TAB4_ha!C8</f>
        <v>2.6016515392634831</v>
      </c>
    </row>
    <row r="14" spans="1:6" x14ac:dyDescent="0.35">
      <c r="A14" t="s">
        <v>109</v>
      </c>
      <c r="B14" s="2">
        <f>[8]TAB4_ha!B9</f>
        <v>1.3500702770403938</v>
      </c>
      <c r="F14" s="2">
        <f>[8]TAB4_ha!C9</f>
        <v>2.7568443443872326</v>
      </c>
    </row>
    <row r="15" spans="1:6" x14ac:dyDescent="0.35">
      <c r="A15" t="s">
        <v>13</v>
      </c>
      <c r="B15" s="2">
        <f>[8]TAB4_ha!B10</f>
        <v>-0.74773745170386707</v>
      </c>
      <c r="F15" s="2">
        <f>[8]TAB4_ha!C10</f>
        <v>3.0702562038396497</v>
      </c>
    </row>
    <row r="16" spans="1:6" x14ac:dyDescent="0.35">
      <c r="A16" t="s">
        <v>12</v>
      </c>
      <c r="B16" s="2">
        <f>[8]TAB4_ha!B11</f>
        <v>0.31663546173790191</v>
      </c>
      <c r="F16" s="2">
        <f>[8]TAB4_ha!C11</f>
        <v>2.5171727159492452</v>
      </c>
    </row>
    <row r="17" spans="1:6" x14ac:dyDescent="0.35">
      <c r="B17" s="2"/>
      <c r="F17" s="2"/>
    </row>
    <row r="18" spans="1:6" x14ac:dyDescent="0.35">
      <c r="A18" t="s">
        <v>101</v>
      </c>
      <c r="B18" s="2"/>
      <c r="F18" s="2"/>
    </row>
    <row r="19" spans="1:6" x14ac:dyDescent="0.35">
      <c r="A19" t="s">
        <v>102</v>
      </c>
      <c r="B19" s="14"/>
      <c r="F19" s="2"/>
    </row>
    <row r="20" spans="1:6" x14ac:dyDescent="0.35">
      <c r="A20" t="s">
        <v>26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7010E-47E4-4268-AEA9-2AC0D961DB5C}">
  <dimension ref="A1:R143"/>
  <sheetViews>
    <sheetView topLeftCell="A9" workbookViewId="0">
      <selection activeCell="B44" sqref="B44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18" ht="18.5" x14ac:dyDescent="0.45">
      <c r="A1" s="6" t="s">
        <v>17</v>
      </c>
    </row>
    <row r="2" spans="1:18" s="1" customFormat="1" x14ac:dyDescent="0.35"/>
    <row r="4" spans="1:18" x14ac:dyDescent="0.35">
      <c r="A4" s="7" t="s">
        <v>27</v>
      </c>
    </row>
    <row r="5" spans="1:18" x14ac:dyDescent="0.35">
      <c r="A5" s="1" t="s">
        <v>28</v>
      </c>
    </row>
    <row r="6" spans="1:18" x14ac:dyDescent="0.35">
      <c r="A6" t="s">
        <v>29</v>
      </c>
    </row>
    <row r="7" spans="1:18" s="1" customFormat="1" x14ac:dyDescent="0.35">
      <c r="B7" s="1" t="str">
        <f>+[9]tab14_ha!B1</f>
        <v>2021</v>
      </c>
      <c r="C7" s="1" t="str">
        <f>+[9]tab14_ha!C1</f>
        <v>2022</v>
      </c>
      <c r="D7" s="1" t="str">
        <f>+[9]tab14_ha!D1</f>
        <v>2023</v>
      </c>
      <c r="E7" s="27" t="str">
        <f>+[9]tab14_ha!E1</f>
        <v>2024</v>
      </c>
      <c r="F7" s="27" t="str">
        <f>+[9]tab14_ha!F1</f>
        <v>2025</v>
      </c>
      <c r="G7" s="27" t="str">
        <f>+[9]tab14_ha!G1</f>
        <v>2026</v>
      </c>
      <c r="H7" s="27" t="str">
        <f>+[9]tab14_ha!H1</f>
        <v>2027</v>
      </c>
      <c r="I7" s="27" t="str">
        <f>+[9]tab14_ha!I1</f>
        <v>2028</v>
      </c>
    </row>
    <row r="8" spans="1:18" x14ac:dyDescent="0.35">
      <c r="A8" t="s">
        <v>65</v>
      </c>
      <c r="B8" s="2">
        <f>+[9]tab14_ha!B2</f>
        <v>409.65</v>
      </c>
      <c r="C8" s="2">
        <f>+[9]tab14_ha!C2</f>
        <v>418.59999999999997</v>
      </c>
      <c r="D8" s="2">
        <f>+[9]tab14_ha!D2</f>
        <v>414.05</v>
      </c>
      <c r="E8" s="15">
        <f>+[9]tab14_ha!E2</f>
        <v>421.36642499999999</v>
      </c>
      <c r="F8" s="15">
        <f>+[9]tab14_ha!F2</f>
        <v>425.04854999999998</v>
      </c>
      <c r="G8" s="15">
        <f>+[9]tab14_ha!G2</f>
        <v>433.23467499999998</v>
      </c>
      <c r="H8" s="15">
        <f>+[9]tab14_ha!H2</f>
        <v>438.34642500000001</v>
      </c>
      <c r="I8" s="15">
        <f>+[9]tab14_ha!I2</f>
        <v>442.86632500000002</v>
      </c>
      <c r="K8" s="2">
        <f>B8</f>
        <v>409.65</v>
      </c>
      <c r="L8" s="2">
        <f t="shared" ref="L8:R8" si="0">C8</f>
        <v>418.59999999999997</v>
      </c>
      <c r="M8" s="2">
        <f t="shared" si="0"/>
        <v>414.05</v>
      </c>
      <c r="N8" s="2">
        <f t="shared" si="0"/>
        <v>421.36642499999999</v>
      </c>
      <c r="O8" s="2">
        <f t="shared" si="0"/>
        <v>425.04854999999998</v>
      </c>
      <c r="P8" s="2">
        <f t="shared" si="0"/>
        <v>433.23467499999998</v>
      </c>
      <c r="Q8" s="2">
        <f t="shared" si="0"/>
        <v>438.34642500000001</v>
      </c>
      <c r="R8" s="2">
        <f t="shared" si="0"/>
        <v>442.86632500000002</v>
      </c>
    </row>
    <row r="9" spans="1:18" x14ac:dyDescent="0.35">
      <c r="B9" s="11">
        <f>+[9]tab14_ha!B3</f>
        <v>6.6588556922476005</v>
      </c>
      <c r="C9" s="11">
        <f>+[9]tab14_ha!C3</f>
        <v>2.1847918955205659</v>
      </c>
      <c r="D9" s="11">
        <f>+[9]tab14_ha!D3</f>
        <v>-1.0869565217391242</v>
      </c>
      <c r="E9" s="17">
        <f>+[9]tab14_ha!E3</f>
        <v>1.7670390049510987</v>
      </c>
      <c r="F9" s="17">
        <f>+[9]tab14_ha!F3</f>
        <v>0.87385344003143572</v>
      </c>
      <c r="G9" s="17">
        <f>+[9]tab14_ha!G3</f>
        <v>1.9259270499805359</v>
      </c>
      <c r="H9" s="17">
        <f>+[9]tab14_ha!H3</f>
        <v>1.1799032475874771</v>
      </c>
      <c r="I9" s="17">
        <f>+[9]tab14_ha!I3</f>
        <v>1.0311250970051811</v>
      </c>
      <c r="K9" s="2">
        <f t="shared" ref="K9:R9" si="1">B10</f>
        <v>42.606695940851019</v>
      </c>
      <c r="L9" s="2">
        <f t="shared" si="1"/>
        <v>47.052865638193808</v>
      </c>
      <c r="M9" s="2">
        <f t="shared" si="1"/>
        <v>48.139348806456496</v>
      </c>
      <c r="N9" s="2">
        <f t="shared" si="1"/>
        <v>44.183392499999997</v>
      </c>
      <c r="O9" s="2">
        <f t="shared" si="1"/>
        <v>46.106557500000001</v>
      </c>
      <c r="P9" s="2">
        <f t="shared" si="1"/>
        <v>46.337222500000003</v>
      </c>
      <c r="Q9" s="2">
        <f t="shared" si="1"/>
        <v>46.138472499999999</v>
      </c>
      <c r="R9" s="2">
        <f t="shared" si="1"/>
        <v>45.848714999999999</v>
      </c>
    </row>
    <row r="10" spans="1:18" x14ac:dyDescent="0.35">
      <c r="A10" s="41" t="s">
        <v>30</v>
      </c>
      <c r="B10" s="2">
        <f>+[9]tab14_ha!B4</f>
        <v>42.606695940851019</v>
      </c>
      <c r="C10" s="2">
        <f>+[9]tab14_ha!C4</f>
        <v>47.052865638193808</v>
      </c>
      <c r="D10" s="2">
        <f>+[9]tab14_ha!D4</f>
        <v>48.139348806456496</v>
      </c>
      <c r="E10" s="15">
        <f>+[9]tab14_ha!E4</f>
        <v>44.183392499999997</v>
      </c>
      <c r="F10" s="15">
        <f>+[9]tab14_ha!F4</f>
        <v>46.106557500000001</v>
      </c>
      <c r="G10" s="15">
        <f>+[9]tab14_ha!G4</f>
        <v>46.337222500000003</v>
      </c>
      <c r="H10" s="15">
        <f>+[9]tab14_ha!H4</f>
        <v>46.138472499999999</v>
      </c>
      <c r="I10" s="15">
        <f>+[9]tab14_ha!I4</f>
        <v>45.848714999999999</v>
      </c>
      <c r="K10" s="2">
        <f t="shared" ref="K10:R10" si="2">B12</f>
        <v>30.737665310610637</v>
      </c>
      <c r="L10" s="2">
        <f t="shared" si="2"/>
        <v>30.676112107366269</v>
      </c>
      <c r="M10" s="2">
        <f t="shared" si="2"/>
        <v>35.173751480194447</v>
      </c>
      <c r="N10" s="2">
        <f t="shared" si="2"/>
        <v>31.980630000000001</v>
      </c>
      <c r="O10" s="2">
        <f t="shared" si="2"/>
        <v>32.887754999999999</v>
      </c>
      <c r="P10" s="2">
        <f t="shared" si="2"/>
        <v>33.288645000000002</v>
      </c>
      <c r="Q10" s="2">
        <f t="shared" si="2"/>
        <v>34.163460000000001</v>
      </c>
      <c r="R10" s="2">
        <f t="shared" si="2"/>
        <v>34.959764999999997</v>
      </c>
    </row>
    <row r="11" spans="1:18" x14ac:dyDescent="0.35">
      <c r="B11" s="11">
        <f>+[9]tab14_ha!B5</f>
        <v>-5.7451596561945202</v>
      </c>
      <c r="C11" s="11">
        <f>+[9]tab14_ha!C5</f>
        <v>10.435377818348579</v>
      </c>
      <c r="D11" s="11">
        <f>+[9]tab14_ha!D5</f>
        <v>2.3090690726831564</v>
      </c>
      <c r="E11" s="17">
        <f>+[9]tab14_ha!E5</f>
        <v>-8.2177187779613696</v>
      </c>
      <c r="F11" s="17">
        <f>+[9]tab14_ha!F5</f>
        <v>4.3526874945150507</v>
      </c>
      <c r="G11" s="17">
        <f>+[9]tab14_ha!G5</f>
        <v>0.5002867542214684</v>
      </c>
      <c r="H11" s="17">
        <f>+[9]tab14_ha!H5</f>
        <v>-0.42892083141151671</v>
      </c>
      <c r="I11" s="17">
        <f>+[9]tab14_ha!I5</f>
        <v>-0.62801710654811771</v>
      </c>
      <c r="K11" s="2">
        <f t="shared" ref="K11:R11" si="3">B14</f>
        <v>5.6878657201339804</v>
      </c>
      <c r="L11" s="2">
        <f t="shared" si="3"/>
        <v>4.5738609254739133</v>
      </c>
      <c r="M11" s="2">
        <f t="shared" si="3"/>
        <v>5.6976777053133372</v>
      </c>
      <c r="N11" s="2">
        <f t="shared" si="3"/>
        <v>5.3673595000000001</v>
      </c>
      <c r="O11" s="2">
        <f t="shared" si="3"/>
        <v>5.091602</v>
      </c>
      <c r="P11" s="2">
        <f t="shared" si="3"/>
        <v>5.1929835000000004</v>
      </c>
      <c r="Q11" s="2">
        <f t="shared" si="3"/>
        <v>5.1537509999999997</v>
      </c>
      <c r="R11" s="2">
        <f t="shared" si="3"/>
        <v>5.0848364999999998</v>
      </c>
    </row>
    <row r="12" spans="1:18" x14ac:dyDescent="0.35">
      <c r="A12" s="41" t="s">
        <v>110</v>
      </c>
      <c r="B12" s="2">
        <f>+[9]tab14_ha!B6</f>
        <v>30.737665310610637</v>
      </c>
      <c r="C12" s="2">
        <f>+[9]tab14_ha!C6</f>
        <v>30.676112107366269</v>
      </c>
      <c r="D12" s="2">
        <f>+[9]tab14_ha!D6</f>
        <v>35.173751480194447</v>
      </c>
      <c r="E12" s="15">
        <f>+[9]tab14_ha!E6</f>
        <v>31.980630000000001</v>
      </c>
      <c r="F12" s="15">
        <f>+[9]tab14_ha!F6</f>
        <v>32.887754999999999</v>
      </c>
      <c r="G12" s="15">
        <f>+[9]tab14_ha!G6</f>
        <v>33.288645000000002</v>
      </c>
      <c r="H12" s="15">
        <f>+[9]tab14_ha!H6</f>
        <v>34.163460000000001</v>
      </c>
      <c r="I12" s="15">
        <f>+[9]tab14_ha!I6</f>
        <v>34.959764999999997</v>
      </c>
      <c r="K12" s="2">
        <f t="shared" ref="K12:R12" si="4">B16</f>
        <v>65.489811614528179</v>
      </c>
      <c r="L12" s="2">
        <f t="shared" si="4"/>
        <v>71.049667653799759</v>
      </c>
      <c r="M12" s="2">
        <f t="shared" si="4"/>
        <v>65.485398246422818</v>
      </c>
      <c r="N12" s="2">
        <f t="shared" si="4"/>
        <v>63.41724</v>
      </c>
      <c r="O12" s="2">
        <f t="shared" si="4"/>
        <v>66.330937500000005</v>
      </c>
      <c r="P12" s="2">
        <f t="shared" si="4"/>
        <v>65.228700000000003</v>
      </c>
      <c r="Q12" s="2">
        <f t="shared" si="4"/>
        <v>65.038702499999999</v>
      </c>
      <c r="R12" s="2">
        <f t="shared" si="4"/>
        <v>64.662904999999995</v>
      </c>
    </row>
    <row r="13" spans="1:18" x14ac:dyDescent="0.35">
      <c r="A13" s="18"/>
      <c r="B13" s="11">
        <f>+[9]tab14_ha!B7</f>
        <v>-21.960540311881637</v>
      </c>
      <c r="C13" s="11">
        <f>+[9]tab14_ha!C7</f>
        <v>-0.20025334592709276</v>
      </c>
      <c r="D13" s="11">
        <f>+[9]tab14_ha!D7</f>
        <v>14.661699491403791</v>
      </c>
      <c r="E13" s="17">
        <f>+[9]tab14_ha!E7</f>
        <v>-9.0781373775055574</v>
      </c>
      <c r="F13" s="17">
        <f>+[9]tab14_ha!F7</f>
        <v>2.8364825833637308</v>
      </c>
      <c r="G13" s="17">
        <f>+[9]tab14_ha!G7</f>
        <v>1.2189643227395797</v>
      </c>
      <c r="H13" s="17">
        <f>+[9]tab14_ha!H7</f>
        <v>2.6279681855479575</v>
      </c>
      <c r="I13" s="17">
        <f>+[9]tab14_ha!I7</f>
        <v>2.3308675409340784</v>
      </c>
      <c r="K13" s="2">
        <f t="shared" ref="K13:R13" si="5">B18</f>
        <v>15.447187664125527</v>
      </c>
      <c r="L13" s="2">
        <f t="shared" si="5"/>
        <v>17.588048957549262</v>
      </c>
      <c r="M13" s="2">
        <f t="shared" si="5"/>
        <v>17.244972581498821</v>
      </c>
      <c r="N13" s="2">
        <f t="shared" si="5"/>
        <v>18.63701</v>
      </c>
      <c r="O13" s="2">
        <f t="shared" si="5"/>
        <v>18.468264999999999</v>
      </c>
      <c r="P13" s="2">
        <f t="shared" si="5"/>
        <v>19.533245000000001</v>
      </c>
      <c r="Q13" s="2">
        <f t="shared" si="5"/>
        <v>19.982602499999999</v>
      </c>
      <c r="R13" s="2">
        <f t="shared" si="5"/>
        <v>20.305064999999999</v>
      </c>
    </row>
    <row r="14" spans="1:18" x14ac:dyDescent="0.35">
      <c r="A14" s="41" t="s">
        <v>66</v>
      </c>
      <c r="B14" s="2">
        <f>+[9]tab14_ha!B8</f>
        <v>5.6878657201339804</v>
      </c>
      <c r="C14" s="2">
        <f>+[9]tab14_ha!C8</f>
        <v>4.5738609254739133</v>
      </c>
      <c r="D14" s="2">
        <f>+[9]tab14_ha!D8</f>
        <v>5.6976777053133372</v>
      </c>
      <c r="E14" s="15">
        <f>+[9]tab14_ha!E8</f>
        <v>5.3673595000000001</v>
      </c>
      <c r="F14" s="15">
        <f>+[9]tab14_ha!F8</f>
        <v>5.091602</v>
      </c>
      <c r="G14" s="15">
        <f>+[9]tab14_ha!G8</f>
        <v>5.1929835000000004</v>
      </c>
      <c r="H14" s="15">
        <f>+[9]tab14_ha!H8</f>
        <v>5.1537509999999997</v>
      </c>
      <c r="I14" s="15">
        <f>+[9]tab14_ha!I8</f>
        <v>5.0848364999999998</v>
      </c>
      <c r="K14" s="2">
        <f t="shared" ref="K14:R14" si="6">B20</f>
        <v>9.7968330369509538</v>
      </c>
      <c r="L14" s="2">
        <f t="shared" si="6"/>
        <v>7.0523098582432127</v>
      </c>
      <c r="M14" s="2">
        <f t="shared" si="6"/>
        <v>9.1114719858231457</v>
      </c>
      <c r="N14" s="2">
        <f t="shared" si="6"/>
        <v>9.2478274999999996</v>
      </c>
      <c r="O14" s="2">
        <f t="shared" si="6"/>
        <v>8.9100894999999998</v>
      </c>
      <c r="P14" s="2">
        <f t="shared" si="6"/>
        <v>9.1174272500000004</v>
      </c>
      <c r="Q14" s="2">
        <f t="shared" si="6"/>
        <v>9.2113637500000003</v>
      </c>
      <c r="R14" s="2">
        <f t="shared" si="6"/>
        <v>9.3129314999999995</v>
      </c>
    </row>
    <row r="15" spans="1:18" x14ac:dyDescent="0.35">
      <c r="A15" s="18"/>
      <c r="B15" s="11">
        <f>+[9]tab14_ha!B9</f>
        <v>39.799932040910235</v>
      </c>
      <c r="C15" s="11">
        <f>+[9]tab14_ha!C9</f>
        <v>-19.58563808418856</v>
      </c>
      <c r="D15" s="11">
        <f>+[9]tab14_ha!D9</f>
        <v>24.570418693327056</v>
      </c>
      <c r="E15" s="17">
        <f>+[9]tab14_ha!E9</f>
        <v>-5.7974182183962553</v>
      </c>
      <c r="F15" s="17">
        <f>+[9]tab14_ha!F9</f>
        <v>-5.1376752386345643</v>
      </c>
      <c r="G15" s="17">
        <f>+[9]tab14_ha!G9</f>
        <v>1.9911513115125734</v>
      </c>
      <c r="H15" s="17">
        <f>+[9]tab14_ha!H9</f>
        <v>-0.75549055759566164</v>
      </c>
      <c r="I15" s="17">
        <f>+[9]tab14_ha!I9</f>
        <v>-1.337171702707407</v>
      </c>
      <c r="K15" s="2">
        <f t="shared" ref="K15:R15" si="7">B22</f>
        <v>46.458758890954833</v>
      </c>
      <c r="L15" s="2">
        <f t="shared" si="7"/>
        <v>47.046960418561163</v>
      </c>
      <c r="M15" s="2">
        <f t="shared" si="7"/>
        <v>45.569999175860609</v>
      </c>
      <c r="N15" s="2">
        <f t="shared" si="7"/>
        <v>48.186862499999997</v>
      </c>
      <c r="O15" s="2">
        <f t="shared" si="7"/>
        <v>47.709962500000003</v>
      </c>
      <c r="P15" s="2">
        <f t="shared" si="7"/>
        <v>48.556892500000004</v>
      </c>
      <c r="Q15" s="2">
        <f t="shared" si="7"/>
        <v>48.967395000000003</v>
      </c>
      <c r="R15" s="2">
        <f t="shared" si="7"/>
        <v>49.340299999999999</v>
      </c>
    </row>
    <row r="16" spans="1:18" x14ac:dyDescent="0.35">
      <c r="A16" s="41" t="s">
        <v>15</v>
      </c>
      <c r="B16" s="2">
        <f>+[9]tab14_ha!B10</f>
        <v>65.489811614528179</v>
      </c>
      <c r="C16" s="2">
        <f>+[9]tab14_ha!C10</f>
        <v>71.049667653799759</v>
      </c>
      <c r="D16" s="2">
        <f>+[9]tab14_ha!D10</f>
        <v>65.485398246422818</v>
      </c>
      <c r="E16" s="15">
        <f>+[9]tab14_ha!E10</f>
        <v>63.41724</v>
      </c>
      <c r="F16" s="15">
        <f>+[9]tab14_ha!F10</f>
        <v>66.330937500000005</v>
      </c>
      <c r="G16" s="15">
        <f>+[9]tab14_ha!G10</f>
        <v>65.228700000000003</v>
      </c>
      <c r="H16" s="15">
        <f>+[9]tab14_ha!H10</f>
        <v>65.038702499999999</v>
      </c>
      <c r="I16" s="15">
        <f>+[9]tab14_ha!I10</f>
        <v>64.662904999999995</v>
      </c>
      <c r="K16" s="2">
        <f t="shared" ref="K16:R16" si="8">B24</f>
        <v>36.408858339297126</v>
      </c>
      <c r="L16" s="2">
        <f t="shared" si="8"/>
        <v>39.334923870425051</v>
      </c>
      <c r="M16" s="2">
        <f t="shared" si="8"/>
        <v>37.633625744292274</v>
      </c>
      <c r="N16" s="2">
        <f t="shared" si="8"/>
        <v>39.516649999999998</v>
      </c>
      <c r="O16" s="2">
        <f t="shared" si="8"/>
        <v>39.017317500000004</v>
      </c>
      <c r="P16" s="2">
        <f t="shared" si="8"/>
        <v>40.870010000000001</v>
      </c>
      <c r="Q16" s="2">
        <f t="shared" si="8"/>
        <v>41.598669999999998</v>
      </c>
      <c r="R16" s="2">
        <f t="shared" si="8"/>
        <v>42.329574999999998</v>
      </c>
    </row>
    <row r="17" spans="1:18" x14ac:dyDescent="0.35">
      <c r="A17" s="18"/>
      <c r="B17" s="11">
        <f>+[9]tab14_ha!B11</f>
        <v>5.5880734345846728</v>
      </c>
      <c r="C17" s="11">
        <f>+[9]tab14_ha!C11</f>
        <v>8.4896503779806167</v>
      </c>
      <c r="D17" s="11">
        <f>+[9]tab14_ha!D11</f>
        <v>-7.8315206687379346</v>
      </c>
      <c r="E17" s="17">
        <f>+[9]tab14_ha!E11</f>
        <v>-3.1581975551867258</v>
      </c>
      <c r="F17" s="17">
        <f>+[9]tab14_ha!F11</f>
        <v>4.5944880288073087</v>
      </c>
      <c r="G17" s="17">
        <f>+[9]tab14_ha!G11</f>
        <v>-1.6617245911834111</v>
      </c>
      <c r="H17" s="17">
        <f>+[9]tab14_ha!H11</f>
        <v>-0.29127899222275433</v>
      </c>
      <c r="I17" s="17">
        <f>+[9]tab14_ha!I11</f>
        <v>-0.57780596099684667</v>
      </c>
      <c r="K17" s="2">
        <f t="shared" ref="K17:R17" si="9">B26</f>
        <v>31.063835838454178</v>
      </c>
      <c r="L17" s="2">
        <f t="shared" si="9"/>
        <v>36.15329456379591</v>
      </c>
      <c r="M17" s="2">
        <f t="shared" si="9"/>
        <v>33.321068758072329</v>
      </c>
      <c r="N17" s="2">
        <f t="shared" si="9"/>
        <v>35.202617500000002</v>
      </c>
      <c r="O17" s="2">
        <f t="shared" si="9"/>
        <v>34.503569999999996</v>
      </c>
      <c r="P17" s="2">
        <f t="shared" si="9"/>
        <v>34.850254999999997</v>
      </c>
      <c r="Q17" s="2">
        <f t="shared" si="9"/>
        <v>34.848840000000003</v>
      </c>
      <c r="R17" s="2">
        <f t="shared" si="9"/>
        <v>34.802424999999999</v>
      </c>
    </row>
    <row r="18" spans="1:18" x14ac:dyDescent="0.35">
      <c r="A18" s="41" t="s">
        <v>16</v>
      </c>
      <c r="B18" s="2">
        <f>+[9]tab14_ha!B12</f>
        <v>15.447187664125527</v>
      </c>
      <c r="C18" s="2">
        <f>+[9]tab14_ha!C12</f>
        <v>17.588048957549262</v>
      </c>
      <c r="D18" s="2">
        <f>+[9]tab14_ha!D12</f>
        <v>17.244972581498821</v>
      </c>
      <c r="E18" s="15">
        <f>+[9]tab14_ha!E12</f>
        <v>18.63701</v>
      </c>
      <c r="F18" s="15">
        <f>+[9]tab14_ha!F12</f>
        <v>18.468264999999999</v>
      </c>
      <c r="G18" s="15">
        <f>+[9]tab14_ha!G12</f>
        <v>19.533245000000001</v>
      </c>
      <c r="H18" s="15">
        <f>+[9]tab14_ha!H12</f>
        <v>19.982602499999999</v>
      </c>
      <c r="I18" s="15">
        <f>+[9]tab14_ha!I12</f>
        <v>20.305064999999999</v>
      </c>
      <c r="K18" s="2">
        <f t="shared" ref="K18:R18" si="10">B28</f>
        <v>63.589637756238098</v>
      </c>
      <c r="L18" s="2">
        <f t="shared" si="10"/>
        <v>55.49634789314856</v>
      </c>
      <c r="M18" s="2">
        <f t="shared" si="10"/>
        <v>57.342081387519684</v>
      </c>
      <c r="N18" s="2">
        <f t="shared" si="10"/>
        <v>58.7716475</v>
      </c>
      <c r="O18" s="2">
        <f t="shared" si="10"/>
        <v>60.854150000000004</v>
      </c>
      <c r="P18" s="2">
        <f t="shared" si="10"/>
        <v>62.196255000000001</v>
      </c>
      <c r="Q18" s="2">
        <f t="shared" si="10"/>
        <v>64.102337500000004</v>
      </c>
      <c r="R18" s="2">
        <f t="shared" si="10"/>
        <v>65.917574999999999</v>
      </c>
    </row>
    <row r="19" spans="1:18" x14ac:dyDescent="0.35">
      <c r="B19" s="11">
        <f>+[9]tab14_ha!B13</f>
        <v>-9.351392647618006</v>
      </c>
      <c r="C19" s="11">
        <f>+[9]tab14_ha!C13</f>
        <v>13.859230171687887</v>
      </c>
      <c r="D19" s="11">
        <f>+[9]tab14_ha!D13</f>
        <v>-1.9506221348285613</v>
      </c>
      <c r="E19" s="17">
        <f>+[9]tab14_ha!E13</f>
        <v>8.072134715914947</v>
      </c>
      <c r="F19" s="17">
        <f>+[9]tab14_ha!F13</f>
        <v>-0.90542957266214197</v>
      </c>
      <c r="G19" s="17">
        <f>+[9]tab14_ha!G13</f>
        <v>5.7665406035705136</v>
      </c>
      <c r="H19" s="17">
        <f>+[9]tab14_ha!H13</f>
        <v>2.3004754202386568</v>
      </c>
      <c r="I19" s="17">
        <f>+[9]tab14_ha!I13</f>
        <v>1.6137162314068032</v>
      </c>
      <c r="K19" s="2">
        <f t="shared" ref="K19:R19" si="11">B30</f>
        <v>6.9936841055282279</v>
      </c>
      <c r="L19" s="2">
        <f t="shared" si="11"/>
        <v>10.265147320644484</v>
      </c>
      <c r="M19" s="2">
        <f t="shared" si="11"/>
        <v>9.1870885923986201</v>
      </c>
      <c r="N19" s="2">
        <f t="shared" si="11"/>
        <v>9.6252117500000001</v>
      </c>
      <c r="O19" s="2">
        <f t="shared" si="11"/>
        <v>10.895855000000001</v>
      </c>
      <c r="P19" s="2">
        <f t="shared" si="11"/>
        <v>10.933887500000001</v>
      </c>
      <c r="Q19" s="2">
        <f t="shared" si="11"/>
        <v>11.27783</v>
      </c>
      <c r="R19" s="2">
        <f t="shared" si="11"/>
        <v>11.6411675</v>
      </c>
    </row>
    <row r="20" spans="1:18" x14ac:dyDescent="0.35">
      <c r="A20" s="41" t="s">
        <v>67</v>
      </c>
      <c r="B20" s="2">
        <f>+[9]tab14_ha!B14</f>
        <v>9.7968330369509538</v>
      </c>
      <c r="C20" s="2">
        <f>+[9]tab14_ha!C14</f>
        <v>7.0523098582432127</v>
      </c>
      <c r="D20" s="2">
        <f>+[9]tab14_ha!D14</f>
        <v>9.1114719858231457</v>
      </c>
      <c r="E20" s="15">
        <f>+[9]tab14_ha!E14</f>
        <v>9.2478274999999996</v>
      </c>
      <c r="F20" s="15">
        <f>+[9]tab14_ha!F14</f>
        <v>8.9100894999999998</v>
      </c>
      <c r="G20" s="15">
        <f>+[9]tab14_ha!G14</f>
        <v>9.1174272500000004</v>
      </c>
      <c r="H20" s="15">
        <f>+[9]tab14_ha!H14</f>
        <v>9.2113637500000003</v>
      </c>
      <c r="I20" s="15">
        <f>+[9]tab14_ha!I14</f>
        <v>9.3129314999999995</v>
      </c>
      <c r="K20" s="2">
        <f t="shared" ref="K20:R20" si="12">B32</f>
        <v>22.78594546291237</v>
      </c>
      <c r="L20" s="2">
        <f t="shared" si="12"/>
        <v>22.70849329842234</v>
      </c>
      <c r="M20" s="2">
        <f t="shared" si="12"/>
        <v>17.119499427030508</v>
      </c>
      <c r="N20" s="2">
        <f t="shared" si="12"/>
        <v>22.067799999999998</v>
      </c>
      <c r="O20" s="2">
        <f t="shared" si="12"/>
        <v>20.903367500000002</v>
      </c>
      <c r="P20" s="2">
        <f t="shared" si="12"/>
        <v>22.752800000000001</v>
      </c>
      <c r="Q20" s="2">
        <f t="shared" si="12"/>
        <v>23.307449999999999</v>
      </c>
      <c r="R20" s="2">
        <f t="shared" si="12"/>
        <v>23.893070000000002</v>
      </c>
    </row>
    <row r="21" spans="1:18" x14ac:dyDescent="0.35">
      <c r="A21" s="18"/>
      <c r="B21" s="11">
        <f>+[9]tab14_ha!B15</f>
        <v>38.923131316418335</v>
      </c>
      <c r="C21" s="11">
        <f>+[9]tab14_ha!C15</f>
        <v>-28.014391674903059</v>
      </c>
      <c r="D21" s="11">
        <f>+[9]tab14_ha!D15</f>
        <v>29.19840689037574</v>
      </c>
      <c r="E21" s="17">
        <f>+[9]tab14_ha!E15</f>
        <v>1.496525637010282</v>
      </c>
      <c r="F21" s="17">
        <f>+[9]tab14_ha!F15</f>
        <v>-3.6520793667485729</v>
      </c>
      <c r="G21" s="17">
        <f>+[9]tab14_ha!G15</f>
        <v>2.3269996333931342</v>
      </c>
      <c r="H21" s="17">
        <f>+[9]tab14_ha!H15</f>
        <v>1.0302961287681267</v>
      </c>
      <c r="I21" s="17">
        <f>+[9]tab14_ha!I15</f>
        <v>1.1026353182502335</v>
      </c>
      <c r="K21" s="2">
        <f t="shared" ref="K21:R21" si="13">B34</f>
        <v>14.791293213447704</v>
      </c>
      <c r="L21" s="2">
        <f t="shared" si="13"/>
        <v>12.248528209581913</v>
      </c>
      <c r="M21" s="2">
        <f t="shared" si="13"/>
        <v>16.118275609918864</v>
      </c>
      <c r="N21" s="2">
        <f t="shared" si="13"/>
        <v>16.242962500000001</v>
      </c>
      <c r="O21" s="2">
        <f t="shared" si="13"/>
        <v>15.689662500000001</v>
      </c>
      <c r="P21" s="2">
        <f t="shared" si="13"/>
        <v>16.125362500000001</v>
      </c>
      <c r="Q21" s="2">
        <f t="shared" si="13"/>
        <v>16.307807499999999</v>
      </c>
      <c r="R21" s="2">
        <f t="shared" si="13"/>
        <v>16.536455</v>
      </c>
    </row>
    <row r="22" spans="1:18" x14ac:dyDescent="0.35">
      <c r="A22" s="41" t="s">
        <v>92</v>
      </c>
      <c r="B22" s="2">
        <f>+[9]tab14_ha!B16</f>
        <v>46.458758890954833</v>
      </c>
      <c r="C22" s="2">
        <f>+[9]tab14_ha!C16</f>
        <v>47.046960418561163</v>
      </c>
      <c r="D22" s="2">
        <f>+[9]tab14_ha!D16</f>
        <v>45.569999175860609</v>
      </c>
      <c r="E22" s="15">
        <f>+[9]tab14_ha!E16</f>
        <v>48.186862499999997</v>
      </c>
      <c r="F22" s="15">
        <f>+[9]tab14_ha!F16</f>
        <v>47.709962500000003</v>
      </c>
      <c r="G22" s="15">
        <f>+[9]tab14_ha!G16</f>
        <v>48.556892500000004</v>
      </c>
      <c r="H22" s="15">
        <f>+[9]tab14_ha!H16</f>
        <v>48.967395000000003</v>
      </c>
      <c r="I22" s="15">
        <f>+[9]tab14_ha!I16</f>
        <v>49.340299999999999</v>
      </c>
      <c r="K22" s="2">
        <f t="shared" ref="K22:R22" si="14">B36</f>
        <v>17.79192710596714</v>
      </c>
      <c r="L22" s="2">
        <f t="shared" si="14"/>
        <v>17.353439284794341</v>
      </c>
      <c r="M22" s="2">
        <f t="shared" si="14"/>
        <v>16.905740499198071</v>
      </c>
      <c r="N22" s="2">
        <f t="shared" si="14"/>
        <v>18.919207499999999</v>
      </c>
      <c r="O22" s="2">
        <f t="shared" si="14"/>
        <v>17.679435000000002</v>
      </c>
      <c r="P22" s="2">
        <f t="shared" si="14"/>
        <v>18.2510075</v>
      </c>
      <c r="Q22" s="2">
        <f t="shared" si="14"/>
        <v>18.247742500000001</v>
      </c>
      <c r="R22" s="2">
        <f t="shared" si="14"/>
        <v>18.231565</v>
      </c>
    </row>
    <row r="23" spans="1:18" x14ac:dyDescent="0.35">
      <c r="A23" s="41" t="s">
        <v>93</v>
      </c>
      <c r="B23" s="11">
        <f>+[9]tab14_ha!B17</f>
        <v>7.1465880293159145</v>
      </c>
      <c r="C23" s="11">
        <f>+[9]tab14_ha!C17</f>
        <v>1.2660724084061714</v>
      </c>
      <c r="D23" s="11">
        <f>+[9]tab14_ha!D17</f>
        <v>-3.1393340389273217</v>
      </c>
      <c r="E23" s="17">
        <f>+[9]tab14_ha!E17</f>
        <v>5.7425134331044569</v>
      </c>
      <c r="F23" s="17">
        <f>+[9]tab14_ha!F17</f>
        <v>-0.98968883894441362</v>
      </c>
      <c r="G23" s="17">
        <f>+[9]tab14_ha!G17</f>
        <v>1.7751638350166354</v>
      </c>
      <c r="H23" s="17">
        <f>+[9]tab14_ha!H17</f>
        <v>0.84540521204070629</v>
      </c>
      <c r="I23" s="17">
        <f>+[9]tab14_ha!I17</f>
        <v>0.76153734541115625</v>
      </c>
      <c r="K23" s="2"/>
      <c r="L23" s="2"/>
      <c r="M23" s="2"/>
      <c r="N23" s="2"/>
      <c r="O23" s="2"/>
      <c r="P23" s="2"/>
      <c r="Q23" s="2"/>
      <c r="R23" s="2"/>
    </row>
    <row r="24" spans="1:18" x14ac:dyDescent="0.35">
      <c r="A24" s="41" t="s">
        <v>94</v>
      </c>
      <c r="B24" s="2">
        <f>+[9]tab14_ha!B18</f>
        <v>36.408858339297126</v>
      </c>
      <c r="C24" s="2">
        <f>+[9]tab14_ha!C18</f>
        <v>39.334923870425051</v>
      </c>
      <c r="D24" s="2">
        <f>+[9]tab14_ha!D18</f>
        <v>37.633625744292274</v>
      </c>
      <c r="E24" s="15">
        <f>+[9]tab14_ha!E18</f>
        <v>39.516649999999998</v>
      </c>
      <c r="F24" s="15">
        <f>+[9]tab14_ha!F18</f>
        <v>39.017317500000004</v>
      </c>
      <c r="G24" s="15">
        <f>+[9]tab14_ha!G18</f>
        <v>40.870010000000001</v>
      </c>
      <c r="H24" s="15">
        <f>+[9]tab14_ha!H18</f>
        <v>41.598669999999998</v>
      </c>
      <c r="I24" s="15">
        <f>+[9]tab14_ha!I18</f>
        <v>42.329574999999998</v>
      </c>
      <c r="K24" s="2">
        <f>B9</f>
        <v>6.6588556922476005</v>
      </c>
      <c r="L24" s="2"/>
      <c r="M24" s="2"/>
      <c r="N24" s="2"/>
      <c r="O24" s="2"/>
      <c r="P24" s="2"/>
      <c r="Q24" s="2"/>
      <c r="R24" s="2"/>
    </row>
    <row r="25" spans="1:18" x14ac:dyDescent="0.35">
      <c r="A25" s="41"/>
      <c r="B25" s="11">
        <f>+[9]tab14_ha!B19</f>
        <v>49.441428074341573</v>
      </c>
      <c r="C25" s="11">
        <f>+[9]tab14_ha!C19</f>
        <v>8.0366857533946234</v>
      </c>
      <c r="D25" s="11">
        <f>+[9]tab14_ha!D19</f>
        <v>-4.3251593208546657</v>
      </c>
      <c r="E25" s="17">
        <f>+[9]tab14_ha!E19</f>
        <v>5.0035685333702284</v>
      </c>
      <c r="F25" s="17">
        <f>+[9]tab14_ha!F19</f>
        <v>-1.2636002798820045</v>
      </c>
      <c r="G25" s="17">
        <f>+[9]tab14_ha!G19</f>
        <v>4.7483851241182817</v>
      </c>
      <c r="H25" s="17">
        <f>+[9]tab14_ha!H19</f>
        <v>1.7828720864027092</v>
      </c>
      <c r="I25" s="17">
        <f>+[9]tab14_ha!I19</f>
        <v>1.7570393476522117</v>
      </c>
      <c r="K25" s="2">
        <f>C9</f>
        <v>2.1847918955205659</v>
      </c>
      <c r="L25" s="2"/>
      <c r="M25" s="2"/>
      <c r="N25" s="2"/>
      <c r="O25" s="2"/>
      <c r="P25" s="2"/>
      <c r="Q25" s="2"/>
      <c r="R25" s="2"/>
    </row>
    <row r="26" spans="1:18" x14ac:dyDescent="0.35">
      <c r="A26" s="41" t="s">
        <v>95</v>
      </c>
      <c r="B26" s="2">
        <f>+[9]tab14_ha!B20</f>
        <v>31.063835838454178</v>
      </c>
      <c r="C26" s="2">
        <f>+[9]tab14_ha!C20</f>
        <v>36.15329456379591</v>
      </c>
      <c r="D26" s="2">
        <f>+[9]tab14_ha!D20</f>
        <v>33.321068758072329</v>
      </c>
      <c r="E26" s="15">
        <f>+[9]tab14_ha!E20</f>
        <v>35.202617500000002</v>
      </c>
      <c r="F26" s="15">
        <f>+[9]tab14_ha!F20</f>
        <v>34.503569999999996</v>
      </c>
      <c r="G26" s="15">
        <f>+[9]tab14_ha!G20</f>
        <v>34.850254999999997</v>
      </c>
      <c r="H26" s="15">
        <f>+[9]tab14_ha!H20</f>
        <v>34.848840000000003</v>
      </c>
      <c r="I26" s="15">
        <f>+[9]tab14_ha!I20</f>
        <v>34.802424999999999</v>
      </c>
      <c r="K26" s="2">
        <f>D9</f>
        <v>-1.0869565217391242</v>
      </c>
      <c r="L26" s="2"/>
      <c r="M26" s="2"/>
      <c r="N26" s="2"/>
      <c r="O26" s="2"/>
      <c r="P26" s="2"/>
      <c r="Q26" s="2"/>
      <c r="R26" s="2"/>
    </row>
    <row r="27" spans="1:18" x14ac:dyDescent="0.35">
      <c r="A27" s="41"/>
      <c r="B27" s="11">
        <f>+[9]tab14_ha!B21</f>
        <v>1.1060280825104574</v>
      </c>
      <c r="C27" s="11">
        <f>+[9]tab14_ha!C21</f>
        <v>16.383870787269128</v>
      </c>
      <c r="D27" s="11">
        <f>+[9]tab14_ha!D21</f>
        <v>-7.8339355787502285</v>
      </c>
      <c r="E27" s="17">
        <f>+[9]tab14_ha!E21</f>
        <v>5.6467238658779451</v>
      </c>
      <c r="F27" s="17">
        <f>+[9]tab14_ha!F21</f>
        <v>-1.9857827333436329</v>
      </c>
      <c r="G27" s="17">
        <f>+[9]tab14_ha!G21</f>
        <v>1.004780085075252</v>
      </c>
      <c r="H27" s="17">
        <f>+[9]tab14_ha!H21</f>
        <v>-4.0602285406365901E-3</v>
      </c>
      <c r="I27" s="17">
        <f>+[9]tab14_ha!I21</f>
        <v>-0.13318951219036812</v>
      </c>
      <c r="K27" s="2">
        <f>E9</f>
        <v>1.7670390049510987</v>
      </c>
      <c r="L27" s="2"/>
      <c r="M27" s="2"/>
      <c r="N27" s="2"/>
      <c r="O27" s="2"/>
      <c r="P27" s="2"/>
      <c r="Q27" s="2"/>
      <c r="R27" s="2"/>
    </row>
    <row r="28" spans="1:18" x14ac:dyDescent="0.35">
      <c r="A28" s="41" t="s">
        <v>96</v>
      </c>
      <c r="B28" s="2">
        <f>+[9]tab14_ha!B22</f>
        <v>63.589637756238098</v>
      </c>
      <c r="C28" s="2">
        <f>+[9]tab14_ha!C22</f>
        <v>55.49634789314856</v>
      </c>
      <c r="D28" s="2">
        <f>+[9]tab14_ha!D22</f>
        <v>57.342081387519684</v>
      </c>
      <c r="E28" s="15">
        <f>+[9]tab14_ha!E22</f>
        <v>58.7716475</v>
      </c>
      <c r="F28" s="15">
        <f>+[9]tab14_ha!F22</f>
        <v>60.854150000000004</v>
      </c>
      <c r="G28" s="15">
        <f>+[9]tab14_ha!G22</f>
        <v>62.196255000000001</v>
      </c>
      <c r="H28" s="15">
        <f>+[9]tab14_ha!H22</f>
        <v>64.102337500000004</v>
      </c>
      <c r="I28" s="15">
        <f>+[9]tab14_ha!I22</f>
        <v>65.917574999999999</v>
      </c>
      <c r="K28" s="2">
        <f>F9</f>
        <v>0.87385344003143572</v>
      </c>
      <c r="L28" s="2"/>
      <c r="M28" s="2"/>
      <c r="N28" s="2"/>
      <c r="O28" s="2"/>
      <c r="P28" s="2"/>
      <c r="Q28" s="2"/>
      <c r="R28" s="2"/>
    </row>
    <row r="29" spans="1:18" x14ac:dyDescent="0.35">
      <c r="A29" s="41"/>
      <c r="B29" s="11">
        <f>+[9]tab14_ha!B23</f>
        <v>15.458048503319866</v>
      </c>
      <c r="C29" s="11">
        <f>+[9]tab14_ha!C23</f>
        <v>-12.727372176759399</v>
      </c>
      <c r="D29" s="11">
        <f>+[9]tab14_ha!D23</f>
        <v>3.3258647901026839</v>
      </c>
      <c r="E29" s="17">
        <f>+[9]tab14_ha!E23</f>
        <v>2.4930488707224585</v>
      </c>
      <c r="F29" s="17">
        <f>+[9]tab14_ha!F23</f>
        <v>3.5433794841296606</v>
      </c>
      <c r="G29" s="17">
        <f>+[9]tab14_ha!G23</f>
        <v>2.2054453147402286</v>
      </c>
      <c r="H29" s="17">
        <f>+[9]tab14_ha!H23</f>
        <v>3.0646258363948187</v>
      </c>
      <c r="I29" s="17">
        <f>+[9]tab14_ha!I23</f>
        <v>2.8317805103440952</v>
      </c>
      <c r="K29" s="2">
        <f>G9</f>
        <v>1.9259270499805359</v>
      </c>
      <c r="L29" s="2"/>
      <c r="M29" s="2"/>
      <c r="N29" s="2"/>
      <c r="O29" s="2"/>
      <c r="P29" s="2"/>
      <c r="Q29" s="2"/>
      <c r="R29" s="2"/>
    </row>
    <row r="30" spans="1:18" x14ac:dyDescent="0.35">
      <c r="A30" s="41" t="s">
        <v>97</v>
      </c>
      <c r="B30" s="2">
        <f>+[9]tab14_ha!B24</f>
        <v>6.9936841055282279</v>
      </c>
      <c r="C30" s="2">
        <f>+[9]tab14_ha!C24</f>
        <v>10.265147320644484</v>
      </c>
      <c r="D30" s="2">
        <f>+[9]tab14_ha!D24</f>
        <v>9.1870885923986201</v>
      </c>
      <c r="E30" s="15">
        <f>+[9]tab14_ha!E24</f>
        <v>9.6252117500000001</v>
      </c>
      <c r="F30" s="15">
        <f>+[9]tab14_ha!F24</f>
        <v>10.895855000000001</v>
      </c>
      <c r="G30" s="15">
        <f>+[9]tab14_ha!G24</f>
        <v>10.933887500000001</v>
      </c>
      <c r="H30" s="15">
        <f>+[9]tab14_ha!H24</f>
        <v>11.27783</v>
      </c>
      <c r="I30" s="15">
        <f>+[9]tab14_ha!I24</f>
        <v>11.6411675</v>
      </c>
      <c r="K30" s="2">
        <f>H9</f>
        <v>1.1799032475874771</v>
      </c>
      <c r="L30" s="2"/>
      <c r="M30" s="2"/>
      <c r="N30" s="2"/>
      <c r="O30" s="2"/>
      <c r="P30" s="2"/>
      <c r="Q30" s="2"/>
      <c r="R30" s="2"/>
    </row>
    <row r="31" spans="1:18" x14ac:dyDescent="0.35">
      <c r="A31" s="41"/>
      <c r="B31" s="11">
        <f>+[9]tab14_ha!B25</f>
        <v>33.762805155430506</v>
      </c>
      <c r="C31" s="11">
        <f>+[9]tab14_ha!C25</f>
        <v>46.777394657134927</v>
      </c>
      <c r="D31" s="11">
        <f>+[9]tab14_ha!D25</f>
        <v>-10.502126219637919</v>
      </c>
      <c r="E31" s="17">
        <f>+[9]tab14_ha!E25</f>
        <v>4.768900976571433</v>
      </c>
      <c r="F31" s="17">
        <f>+[9]tab14_ha!F25</f>
        <v>13.201197885334848</v>
      </c>
      <c r="G31" s="17">
        <f>+[9]tab14_ha!G25</f>
        <v>0.3490547552257306</v>
      </c>
      <c r="H31" s="17">
        <f>+[9]tab14_ha!H25</f>
        <v>3.1456561081317114</v>
      </c>
      <c r="I31" s="17">
        <f>+[9]tab14_ha!I25</f>
        <v>3.2216969044576826</v>
      </c>
      <c r="K31" s="2">
        <f>I9</f>
        <v>1.0311250970051811</v>
      </c>
      <c r="L31" s="2"/>
      <c r="M31" s="2"/>
      <c r="N31" s="2"/>
      <c r="O31" s="2"/>
      <c r="P31" s="2"/>
      <c r="Q31" s="2"/>
      <c r="R31" s="2"/>
    </row>
    <row r="32" spans="1:18" x14ac:dyDescent="0.35">
      <c r="A32" s="41" t="s">
        <v>98</v>
      </c>
      <c r="B32" s="2">
        <f>+[9]tab14_ha!B26</f>
        <v>22.78594546291237</v>
      </c>
      <c r="C32" s="2">
        <f>+[9]tab14_ha!C26</f>
        <v>22.70849329842234</v>
      </c>
      <c r="D32" s="2">
        <f>+[9]tab14_ha!D26</f>
        <v>17.119499427030508</v>
      </c>
      <c r="E32" s="15">
        <f>+[9]tab14_ha!E26</f>
        <v>22.067799999999998</v>
      </c>
      <c r="F32" s="15">
        <f>+[9]tab14_ha!F26</f>
        <v>20.903367500000002</v>
      </c>
      <c r="G32" s="15">
        <f>+[9]tab14_ha!G26</f>
        <v>22.752800000000001</v>
      </c>
      <c r="H32" s="15">
        <f>+[9]tab14_ha!H26</f>
        <v>23.307449999999999</v>
      </c>
      <c r="I32" s="15">
        <f>+[9]tab14_ha!I26</f>
        <v>23.893070000000002</v>
      </c>
      <c r="K32" s="2">
        <f>B11</f>
        <v>-5.7451596561945202</v>
      </c>
      <c r="L32" s="2"/>
      <c r="M32" s="2"/>
      <c r="N32" s="2"/>
      <c r="O32" s="2"/>
      <c r="P32" s="2"/>
      <c r="Q32" s="2"/>
      <c r="R32" s="2"/>
    </row>
    <row r="33" spans="1:18" x14ac:dyDescent="0.35">
      <c r="A33" s="41"/>
      <c r="B33" s="11">
        <f>+[9]tab14_ha!B27</f>
        <v>35.720513317427447</v>
      </c>
      <c r="C33" s="11">
        <f>+[9]tab14_ha!C27</f>
        <v>-0.33991200679425182</v>
      </c>
      <c r="D33" s="11">
        <f>+[9]tab14_ha!D27</f>
        <v>-24.611909728859573</v>
      </c>
      <c r="E33" s="17">
        <f>+[9]tab14_ha!E27</f>
        <v>28.904469982086422</v>
      </c>
      <c r="F33" s="17">
        <f>+[9]tab14_ha!F27</f>
        <v>-5.2766134367721147</v>
      </c>
      <c r="G33" s="17">
        <f>+[9]tab14_ha!G27</f>
        <v>8.8475337765553839</v>
      </c>
      <c r="H33" s="17">
        <f>+[9]tab14_ha!H27</f>
        <v>2.4377219507049519</v>
      </c>
      <c r="I33" s="17">
        <f>+[9]tab14_ha!I27</f>
        <v>2.5125871770614205</v>
      </c>
      <c r="K33" s="2">
        <f>C11</f>
        <v>10.435377818348579</v>
      </c>
      <c r="L33" s="2"/>
      <c r="M33" s="2"/>
      <c r="N33" s="2"/>
      <c r="O33" s="2"/>
      <c r="P33" s="2"/>
      <c r="Q33" s="2"/>
      <c r="R33" s="2"/>
    </row>
    <row r="34" spans="1:18" x14ac:dyDescent="0.35">
      <c r="A34" s="41" t="s">
        <v>99</v>
      </c>
      <c r="B34" s="2">
        <f>+[9]tab14_ha!B28</f>
        <v>14.791293213447704</v>
      </c>
      <c r="C34" s="2">
        <f>+[9]tab14_ha!C28</f>
        <v>12.248528209581913</v>
      </c>
      <c r="D34" s="2">
        <f>+[9]tab14_ha!D28</f>
        <v>16.118275609918864</v>
      </c>
      <c r="E34" s="15">
        <f>+[9]tab14_ha!E28</f>
        <v>16.242962500000001</v>
      </c>
      <c r="F34" s="15">
        <f>+[9]tab14_ha!F28</f>
        <v>15.689662500000001</v>
      </c>
      <c r="G34" s="15">
        <f>+[9]tab14_ha!G28</f>
        <v>16.125362500000001</v>
      </c>
      <c r="H34" s="15">
        <f>+[9]tab14_ha!H28</f>
        <v>16.307807499999999</v>
      </c>
      <c r="I34" s="15">
        <f>+[9]tab14_ha!I28</f>
        <v>16.536455</v>
      </c>
      <c r="K34" s="2">
        <f>D11</f>
        <v>2.3090690726831564</v>
      </c>
      <c r="L34" s="2"/>
      <c r="M34" s="2"/>
      <c r="N34" s="2"/>
      <c r="O34" s="2"/>
      <c r="P34" s="2"/>
      <c r="Q34" s="2"/>
      <c r="R34" s="2"/>
    </row>
    <row r="35" spans="1:18" x14ac:dyDescent="0.35">
      <c r="A35" s="41"/>
      <c r="B35" s="11">
        <f>+[9]tab14_ha!B29</f>
        <v>5.7391605614995012</v>
      </c>
      <c r="C35" s="11">
        <f>+[9]tab14_ha!C29</f>
        <v>-17.1909579992235</v>
      </c>
      <c r="D35" s="11">
        <f>+[9]tab14_ha!D29</f>
        <v>31.593570542701464</v>
      </c>
      <c r="E35" s="17">
        <f>+[9]tab14_ha!E29</f>
        <v>0.77357462484639594</v>
      </c>
      <c r="F35" s="17">
        <f>+[9]tab14_ha!F29</f>
        <v>-3.4063983094216987</v>
      </c>
      <c r="G35" s="17">
        <f>+[9]tab14_ha!G29</f>
        <v>2.776987714044199</v>
      </c>
      <c r="H35" s="17">
        <f>+[9]tab14_ha!H29</f>
        <v>1.1314164255222137</v>
      </c>
      <c r="I35" s="17">
        <f>+[9]tab14_ha!I29</f>
        <v>1.4020738226153462</v>
      </c>
      <c r="K35" s="2">
        <f>E11</f>
        <v>-8.2177187779613696</v>
      </c>
      <c r="L35" s="2"/>
      <c r="M35" s="2"/>
      <c r="N35" s="2"/>
      <c r="O35" s="2"/>
      <c r="P35" s="2"/>
      <c r="Q35" s="2"/>
      <c r="R35" s="2"/>
    </row>
    <row r="36" spans="1:18" x14ac:dyDescent="0.35">
      <c r="A36" s="41" t="s">
        <v>100</v>
      </c>
      <c r="B36" s="2">
        <f>+[9]tab14_ha!B30</f>
        <v>17.79192710596714</v>
      </c>
      <c r="C36" s="2">
        <f>+[9]tab14_ha!C30</f>
        <v>17.353439284794341</v>
      </c>
      <c r="D36" s="2">
        <f>+[9]tab14_ha!D30</f>
        <v>16.905740499198071</v>
      </c>
      <c r="E36" s="15">
        <f>+[9]tab14_ha!E30</f>
        <v>18.919207499999999</v>
      </c>
      <c r="F36" s="15">
        <f>+[9]tab14_ha!F30</f>
        <v>17.679435000000002</v>
      </c>
      <c r="G36" s="15">
        <f>+[9]tab14_ha!G30</f>
        <v>18.2510075</v>
      </c>
      <c r="H36" s="15">
        <f>+[9]tab14_ha!H30</f>
        <v>18.247742500000001</v>
      </c>
      <c r="I36" s="15">
        <f>+[9]tab14_ha!I30</f>
        <v>18.231565</v>
      </c>
      <c r="K36" s="2">
        <f>F11</f>
        <v>4.3526874945150507</v>
      </c>
      <c r="L36" s="2"/>
      <c r="M36" s="2"/>
      <c r="N36" s="2"/>
      <c r="O36" s="2"/>
      <c r="P36" s="2"/>
      <c r="Q36" s="2"/>
      <c r="R36" s="2"/>
    </row>
    <row r="37" spans="1:18" x14ac:dyDescent="0.35">
      <c r="B37" s="11">
        <f>+[9]tab14_ha!B31</f>
        <v>-10.004187770855665</v>
      </c>
      <c r="C37" s="11">
        <f>+[9]tab14_ha!C31</f>
        <v>-2.4645324734145158</v>
      </c>
      <c r="D37" s="11">
        <f>+[9]tab14_ha!D31</f>
        <v>-2.5798850490032721</v>
      </c>
      <c r="E37" s="17">
        <f>+[9]tab14_ha!E31</f>
        <v>11.909960411952603</v>
      </c>
      <c r="F37" s="17">
        <f>+[9]tab14_ha!F31</f>
        <v>-6.5529832578875009</v>
      </c>
      <c r="G37" s="17">
        <f>+[9]tab14_ha!G31</f>
        <v>3.232979447589801</v>
      </c>
      <c r="H37" s="17">
        <f>+[9]tab14_ha!H31</f>
        <v>-1.7889423364703116E-2</v>
      </c>
      <c r="I37" s="17">
        <f>+[9]tab14_ha!I31</f>
        <v>-8.8654802094023655E-2</v>
      </c>
      <c r="K37" s="2">
        <f>G11</f>
        <v>0.5002867542214684</v>
      </c>
      <c r="L37" s="2"/>
      <c r="M37" s="2"/>
      <c r="N37" s="2"/>
      <c r="O37" s="2"/>
      <c r="P37" s="2"/>
      <c r="Q37" s="2"/>
      <c r="R37" s="2"/>
    </row>
    <row r="38" spans="1:18" x14ac:dyDescent="0.35">
      <c r="A38" t="s">
        <v>7</v>
      </c>
      <c r="K38" s="2">
        <f>H11</f>
        <v>-0.42892083141151671</v>
      </c>
      <c r="L38" s="2"/>
      <c r="M38" s="2"/>
      <c r="N38" s="2"/>
      <c r="O38" s="2"/>
      <c r="P38" s="2"/>
      <c r="Q38" s="2"/>
      <c r="R38" s="2"/>
    </row>
    <row r="39" spans="1:18" x14ac:dyDescent="0.35">
      <c r="K39" s="2">
        <f>I11</f>
        <v>-0.62801710654811771</v>
      </c>
      <c r="L39" s="2"/>
      <c r="M39" s="2"/>
      <c r="N39" s="2"/>
      <c r="O39" s="2"/>
      <c r="P39" s="2"/>
      <c r="Q39" s="2"/>
      <c r="R39" s="2"/>
    </row>
    <row r="40" spans="1:18" x14ac:dyDescent="0.35">
      <c r="K40" s="2">
        <f>B13</f>
        <v>-21.960540311881637</v>
      </c>
      <c r="L40" s="2"/>
      <c r="M40" s="2"/>
      <c r="N40" s="2"/>
      <c r="O40" s="2"/>
      <c r="P40" s="2"/>
      <c r="Q40" s="2"/>
      <c r="R40" s="2"/>
    </row>
    <row r="41" spans="1:18" x14ac:dyDescent="0.35">
      <c r="B41" t="str">
        <f>$B$7</f>
        <v>2021</v>
      </c>
      <c r="K41" s="2">
        <f>C13</f>
        <v>-0.20025334592709276</v>
      </c>
      <c r="L41" s="2"/>
      <c r="M41" s="2"/>
      <c r="N41" s="2"/>
      <c r="O41" s="2"/>
      <c r="P41" s="2"/>
      <c r="Q41" s="2"/>
      <c r="R41" s="2"/>
    </row>
    <row r="42" spans="1:18" x14ac:dyDescent="0.35">
      <c r="B42" t="str">
        <f>$C$7</f>
        <v>2022</v>
      </c>
      <c r="K42" s="2">
        <f>D13</f>
        <v>14.661699491403791</v>
      </c>
      <c r="L42" s="2"/>
      <c r="M42" s="2"/>
      <c r="N42" s="2"/>
      <c r="O42" s="2"/>
      <c r="P42" s="2"/>
      <c r="Q42" s="2"/>
      <c r="R42" s="2"/>
    </row>
    <row r="43" spans="1:18" x14ac:dyDescent="0.35">
      <c r="B43" t="str">
        <f>_xlfn.CONCAT($D$7)</f>
        <v>2023</v>
      </c>
      <c r="C43" t="str">
        <f>_xlfn.CONCAT($D$7,"e")</f>
        <v>2023e</v>
      </c>
      <c r="K43" s="2">
        <f>E13</f>
        <v>-9.0781373775055574</v>
      </c>
      <c r="L43" s="2"/>
      <c r="M43" s="2"/>
      <c r="N43" s="2"/>
      <c r="O43" s="2"/>
      <c r="P43" s="2"/>
      <c r="Q43" s="2"/>
      <c r="R43" s="2"/>
    </row>
    <row r="44" spans="1:18" x14ac:dyDescent="0.35">
      <c r="B44" t="str">
        <f>_xlfn.CONCAT($E$7,"f")</f>
        <v>2024f</v>
      </c>
      <c r="K44" s="2">
        <f>F13</f>
        <v>2.8364825833637308</v>
      </c>
      <c r="L44" s="2"/>
      <c r="M44" s="2"/>
      <c r="N44" s="2"/>
      <c r="O44" s="2"/>
      <c r="P44" s="2"/>
      <c r="Q44" s="2"/>
      <c r="R44" s="2"/>
    </row>
    <row r="45" spans="1:18" x14ac:dyDescent="0.35">
      <c r="B45" t="str">
        <f>_xlfn.CONCAT($F$7,"f")</f>
        <v>2025f</v>
      </c>
      <c r="K45" s="2">
        <f>G13</f>
        <v>1.2189643227395797</v>
      </c>
      <c r="L45" s="2"/>
      <c r="M45" s="2"/>
      <c r="N45" s="2"/>
      <c r="O45" s="2"/>
      <c r="P45" s="2"/>
      <c r="Q45" s="2"/>
      <c r="R45" s="2"/>
    </row>
    <row r="46" spans="1:18" x14ac:dyDescent="0.35">
      <c r="B46" t="str">
        <f>_xlfn.CONCAT($G$7,"f")</f>
        <v>2026f</v>
      </c>
      <c r="K46" s="2">
        <f>H13</f>
        <v>2.6279681855479575</v>
      </c>
      <c r="L46" s="2"/>
      <c r="M46" s="2"/>
      <c r="N46" s="2"/>
      <c r="O46" s="2"/>
      <c r="P46" s="2"/>
      <c r="Q46" s="2"/>
      <c r="R46" s="2"/>
    </row>
    <row r="47" spans="1:18" x14ac:dyDescent="0.35">
      <c r="B47" t="str">
        <f>_xlfn.CONCAT($H$7,"f")</f>
        <v>2027f</v>
      </c>
      <c r="K47" s="2">
        <f>I13</f>
        <v>2.3308675409340784</v>
      </c>
      <c r="L47" s="2"/>
      <c r="M47" s="2"/>
      <c r="N47" s="2"/>
      <c r="O47" s="2"/>
      <c r="P47" s="2"/>
      <c r="Q47" s="2"/>
      <c r="R47" s="2"/>
    </row>
    <row r="48" spans="1:18" x14ac:dyDescent="0.35">
      <c r="B48" t="str">
        <f>_xlfn.CONCAT($I$7,"f")</f>
        <v>2028f</v>
      </c>
      <c r="K48" s="2">
        <f>B15</f>
        <v>39.799932040910235</v>
      </c>
      <c r="L48" s="2"/>
      <c r="M48" s="2"/>
      <c r="N48" s="2"/>
      <c r="O48" s="2"/>
      <c r="P48" s="2"/>
      <c r="Q48" s="2"/>
      <c r="R48" s="2"/>
    </row>
    <row r="49" spans="11:18" x14ac:dyDescent="0.35">
      <c r="K49" s="2">
        <f>C15</f>
        <v>-19.58563808418856</v>
      </c>
      <c r="L49" s="2"/>
      <c r="M49" s="2"/>
      <c r="N49" s="2"/>
      <c r="O49" s="2"/>
      <c r="P49" s="2"/>
      <c r="Q49" s="2"/>
      <c r="R49" s="2"/>
    </row>
    <row r="50" spans="11:18" x14ac:dyDescent="0.35">
      <c r="K50" s="2">
        <f>D15</f>
        <v>24.570418693327056</v>
      </c>
      <c r="L50" s="2"/>
      <c r="M50" s="2"/>
      <c r="N50" s="2"/>
      <c r="O50" s="2"/>
      <c r="P50" s="2"/>
      <c r="Q50" s="2"/>
      <c r="R50" s="2"/>
    </row>
    <row r="51" spans="11:18" x14ac:dyDescent="0.35">
      <c r="K51" s="2">
        <f>E15</f>
        <v>-5.7974182183962553</v>
      </c>
      <c r="L51" s="2"/>
      <c r="M51" s="2"/>
      <c r="N51" s="2"/>
      <c r="O51" s="2"/>
      <c r="P51" s="2"/>
      <c r="Q51" s="2"/>
      <c r="R51" s="2"/>
    </row>
    <row r="52" spans="11:18" x14ac:dyDescent="0.35">
      <c r="K52" s="2">
        <f>F15</f>
        <v>-5.1376752386345643</v>
      </c>
      <c r="L52" s="2"/>
      <c r="M52" s="2"/>
      <c r="N52" s="2"/>
      <c r="O52" s="2"/>
      <c r="P52" s="2"/>
      <c r="Q52" s="2"/>
      <c r="R52" s="2"/>
    </row>
    <row r="53" spans="11:18" x14ac:dyDescent="0.35">
      <c r="K53" s="2">
        <f>G15</f>
        <v>1.9911513115125734</v>
      </c>
      <c r="L53" s="2"/>
      <c r="M53" s="2"/>
      <c r="N53" s="2"/>
      <c r="O53" s="2"/>
      <c r="P53" s="2"/>
      <c r="Q53" s="2"/>
      <c r="R53" s="2"/>
    </row>
    <row r="54" spans="11:18" x14ac:dyDescent="0.35">
      <c r="K54" s="2">
        <f>H15</f>
        <v>-0.75549055759566164</v>
      </c>
      <c r="L54" s="2"/>
      <c r="M54" s="2"/>
      <c r="N54" s="2"/>
      <c r="O54" s="2"/>
      <c r="P54" s="2"/>
      <c r="Q54" s="2"/>
      <c r="R54" s="2"/>
    </row>
    <row r="55" spans="11:18" x14ac:dyDescent="0.35">
      <c r="K55" s="2">
        <f>I15</f>
        <v>-1.337171702707407</v>
      </c>
      <c r="L55" s="2"/>
      <c r="M55" s="2"/>
      <c r="N55" s="2"/>
      <c r="O55" s="2"/>
      <c r="P55" s="2"/>
      <c r="Q55" s="2"/>
      <c r="R55" s="2"/>
    </row>
    <row r="56" spans="11:18" x14ac:dyDescent="0.35">
      <c r="K56" s="2">
        <f>B17</f>
        <v>5.5880734345846728</v>
      </c>
      <c r="L56" s="2"/>
      <c r="M56" s="2"/>
      <c r="N56" s="2"/>
      <c r="O56" s="2"/>
      <c r="P56" s="2"/>
      <c r="Q56" s="2"/>
      <c r="R56" s="2"/>
    </row>
    <row r="57" spans="11:18" x14ac:dyDescent="0.35">
      <c r="K57" s="2">
        <f>C17</f>
        <v>8.4896503779806167</v>
      </c>
      <c r="L57" s="2"/>
      <c r="M57" s="2"/>
      <c r="N57" s="2"/>
      <c r="O57" s="2"/>
      <c r="P57" s="2"/>
      <c r="Q57" s="2"/>
      <c r="R57" s="2"/>
    </row>
    <row r="58" spans="11:18" x14ac:dyDescent="0.35">
      <c r="K58" s="2">
        <f>D17</f>
        <v>-7.8315206687379346</v>
      </c>
      <c r="L58" s="2"/>
      <c r="M58" s="2"/>
      <c r="N58" s="2"/>
      <c r="O58" s="2"/>
      <c r="P58" s="2"/>
      <c r="Q58" s="2"/>
      <c r="R58" s="2"/>
    </row>
    <row r="59" spans="11:18" x14ac:dyDescent="0.35">
      <c r="K59" s="2">
        <f>E17</f>
        <v>-3.1581975551867258</v>
      </c>
      <c r="L59" s="2"/>
      <c r="M59" s="2"/>
      <c r="N59" s="2"/>
      <c r="O59" s="2"/>
      <c r="P59" s="2"/>
      <c r="Q59" s="2"/>
      <c r="R59" s="2"/>
    </row>
    <row r="60" spans="11:18" x14ac:dyDescent="0.35">
      <c r="K60" s="2">
        <f>F17</f>
        <v>4.5944880288073087</v>
      </c>
      <c r="L60" s="2"/>
      <c r="M60" s="2"/>
      <c r="N60" s="2"/>
      <c r="O60" s="2"/>
      <c r="P60" s="2"/>
      <c r="Q60" s="2"/>
      <c r="R60" s="2"/>
    </row>
    <row r="61" spans="11:18" x14ac:dyDescent="0.35">
      <c r="K61" s="2">
        <f>G17</f>
        <v>-1.6617245911834111</v>
      </c>
      <c r="L61" s="2"/>
      <c r="M61" s="2"/>
      <c r="N61" s="2"/>
      <c r="O61" s="2"/>
      <c r="P61" s="2"/>
      <c r="Q61" s="2"/>
      <c r="R61" s="2"/>
    </row>
    <row r="62" spans="11:18" x14ac:dyDescent="0.35">
      <c r="K62" s="2">
        <f>H17</f>
        <v>-0.29127899222275433</v>
      </c>
      <c r="L62" s="2"/>
      <c r="M62" s="2"/>
      <c r="N62" s="2"/>
      <c r="O62" s="2"/>
      <c r="P62" s="2"/>
      <c r="Q62" s="2"/>
      <c r="R62" s="2"/>
    </row>
    <row r="63" spans="11:18" x14ac:dyDescent="0.35">
      <c r="K63" s="2">
        <f>I17</f>
        <v>-0.57780596099684667</v>
      </c>
      <c r="L63" s="2"/>
      <c r="M63" s="2"/>
      <c r="N63" s="2"/>
      <c r="O63" s="2"/>
      <c r="P63" s="2"/>
      <c r="Q63" s="2"/>
      <c r="R63" s="2"/>
    </row>
    <row r="64" spans="11:18" x14ac:dyDescent="0.35">
      <c r="K64" s="2">
        <f>B19</f>
        <v>-9.351392647618006</v>
      </c>
      <c r="L64" s="2"/>
      <c r="M64" s="2"/>
      <c r="N64" s="2"/>
      <c r="O64" s="2"/>
      <c r="P64" s="2"/>
      <c r="Q64" s="2"/>
      <c r="R64" s="2"/>
    </row>
    <row r="65" spans="11:18" x14ac:dyDescent="0.35">
      <c r="K65" s="2">
        <f>C19</f>
        <v>13.859230171687887</v>
      </c>
      <c r="L65" s="2"/>
      <c r="M65" s="2"/>
      <c r="N65" s="2"/>
      <c r="O65" s="2"/>
      <c r="P65" s="2"/>
      <c r="Q65" s="2"/>
      <c r="R65" s="2"/>
    </row>
    <row r="66" spans="11:18" x14ac:dyDescent="0.35">
      <c r="K66" s="2">
        <f>D19</f>
        <v>-1.9506221348285613</v>
      </c>
      <c r="L66" s="2"/>
      <c r="M66" s="2"/>
      <c r="N66" s="2"/>
      <c r="O66" s="2"/>
      <c r="P66" s="2"/>
      <c r="Q66" s="2"/>
      <c r="R66" s="2"/>
    </row>
    <row r="67" spans="11:18" x14ac:dyDescent="0.35">
      <c r="K67" s="2">
        <f>E19</f>
        <v>8.072134715914947</v>
      </c>
      <c r="L67" s="2"/>
      <c r="M67" s="2"/>
      <c r="N67" s="2"/>
      <c r="O67" s="2"/>
      <c r="P67" s="2"/>
      <c r="Q67" s="2"/>
      <c r="R67" s="2"/>
    </row>
    <row r="68" spans="11:18" x14ac:dyDescent="0.35">
      <c r="K68" s="2">
        <f>F19</f>
        <v>-0.90542957266214197</v>
      </c>
      <c r="L68" s="2"/>
      <c r="M68" s="2"/>
      <c r="N68" s="2"/>
      <c r="O68" s="2"/>
      <c r="P68" s="2"/>
      <c r="Q68" s="2"/>
      <c r="R68" s="2"/>
    </row>
    <row r="69" spans="11:18" x14ac:dyDescent="0.35">
      <c r="K69" s="2">
        <f>G19</f>
        <v>5.7665406035705136</v>
      </c>
      <c r="L69" s="2"/>
      <c r="M69" s="2"/>
      <c r="N69" s="2"/>
      <c r="O69" s="2"/>
      <c r="P69" s="2"/>
      <c r="Q69" s="2"/>
      <c r="R69" s="2"/>
    </row>
    <row r="70" spans="11:18" x14ac:dyDescent="0.35">
      <c r="K70" s="2">
        <f>H19</f>
        <v>2.3004754202386568</v>
      </c>
      <c r="L70" s="2"/>
      <c r="M70" s="2"/>
      <c r="N70" s="2"/>
      <c r="O70" s="2"/>
      <c r="P70" s="2"/>
      <c r="Q70" s="2"/>
      <c r="R70" s="2"/>
    </row>
    <row r="71" spans="11:18" x14ac:dyDescent="0.35">
      <c r="K71" s="2">
        <f>I19</f>
        <v>1.6137162314068032</v>
      </c>
      <c r="L71" s="2"/>
      <c r="M71" s="2"/>
      <c r="N71" s="2"/>
      <c r="O71" s="2"/>
      <c r="P71" s="2"/>
      <c r="Q71" s="2"/>
      <c r="R71" s="2"/>
    </row>
    <row r="72" spans="11:18" x14ac:dyDescent="0.35">
      <c r="K72" s="2">
        <f>B21</f>
        <v>38.923131316418335</v>
      </c>
      <c r="L72" s="2"/>
      <c r="M72" s="2"/>
      <c r="N72" s="2"/>
      <c r="O72" s="2"/>
      <c r="P72" s="2"/>
      <c r="Q72" s="2"/>
      <c r="R72" s="2"/>
    </row>
    <row r="73" spans="11:18" x14ac:dyDescent="0.35">
      <c r="K73" s="2">
        <f>C21</f>
        <v>-28.014391674903059</v>
      </c>
      <c r="L73" s="2"/>
      <c r="M73" s="2"/>
      <c r="N73" s="2"/>
      <c r="O73" s="2"/>
      <c r="P73" s="2"/>
      <c r="Q73" s="2"/>
      <c r="R73" s="2"/>
    </row>
    <row r="74" spans="11:18" x14ac:dyDescent="0.35">
      <c r="K74" s="2">
        <f>D21</f>
        <v>29.19840689037574</v>
      </c>
      <c r="L74" s="2"/>
      <c r="M74" s="2"/>
      <c r="N74" s="2"/>
      <c r="O74" s="2"/>
      <c r="P74" s="2"/>
      <c r="Q74" s="2"/>
      <c r="R74" s="2"/>
    </row>
    <row r="75" spans="11:18" x14ac:dyDescent="0.35">
      <c r="K75" s="2">
        <f>E21</f>
        <v>1.496525637010282</v>
      </c>
      <c r="L75" s="2"/>
      <c r="M75" s="2"/>
      <c r="N75" s="2"/>
      <c r="O75" s="2"/>
      <c r="P75" s="2"/>
      <c r="Q75" s="2"/>
      <c r="R75" s="2"/>
    </row>
    <row r="76" spans="11:18" x14ac:dyDescent="0.35">
      <c r="K76" s="2">
        <f>F21</f>
        <v>-3.6520793667485729</v>
      </c>
      <c r="L76" s="2"/>
      <c r="M76" s="2"/>
      <c r="N76" s="2"/>
      <c r="O76" s="2"/>
      <c r="P76" s="2"/>
      <c r="Q76" s="2"/>
      <c r="R76" s="2"/>
    </row>
    <row r="77" spans="11:18" x14ac:dyDescent="0.35">
      <c r="K77" s="2">
        <f>G21</f>
        <v>2.3269996333931342</v>
      </c>
      <c r="L77" s="2"/>
      <c r="M77" s="2"/>
      <c r="N77" s="2"/>
      <c r="O77" s="2"/>
      <c r="P77" s="2"/>
      <c r="Q77" s="2"/>
      <c r="R77" s="2"/>
    </row>
    <row r="78" spans="11:18" x14ac:dyDescent="0.35">
      <c r="K78" s="2">
        <f>H21</f>
        <v>1.0302961287681267</v>
      </c>
      <c r="L78" s="2"/>
      <c r="M78" s="2"/>
      <c r="N78" s="2"/>
      <c r="O78" s="2"/>
      <c r="P78" s="2"/>
      <c r="Q78" s="2"/>
      <c r="R78" s="2"/>
    </row>
    <row r="79" spans="11:18" x14ac:dyDescent="0.35">
      <c r="K79" s="2">
        <f>I21</f>
        <v>1.1026353182502335</v>
      </c>
      <c r="L79" s="2"/>
      <c r="M79" s="2"/>
      <c r="N79" s="2"/>
      <c r="O79" s="2"/>
      <c r="P79" s="2"/>
      <c r="Q79" s="2"/>
      <c r="R79" s="2"/>
    </row>
    <row r="80" spans="11:18" x14ac:dyDescent="0.35">
      <c r="K80" s="2">
        <f>B23</f>
        <v>7.1465880293159145</v>
      </c>
      <c r="L80" s="2"/>
      <c r="M80" s="2"/>
      <c r="N80" s="2"/>
      <c r="O80" s="2"/>
      <c r="P80" s="2"/>
      <c r="Q80" s="2"/>
      <c r="R80" s="2"/>
    </row>
    <row r="81" spans="11:18" x14ac:dyDescent="0.35">
      <c r="K81" s="2">
        <f>C23</f>
        <v>1.2660724084061714</v>
      </c>
      <c r="L81" s="2"/>
      <c r="M81" s="2"/>
      <c r="N81" s="2"/>
      <c r="O81" s="2"/>
      <c r="P81" s="2"/>
      <c r="Q81" s="2"/>
      <c r="R81" s="2"/>
    </row>
    <row r="82" spans="11:18" x14ac:dyDescent="0.35">
      <c r="K82" s="2">
        <f>D23</f>
        <v>-3.1393340389273217</v>
      </c>
      <c r="L82" s="2"/>
      <c r="M82" s="2"/>
      <c r="N82" s="2"/>
      <c r="O82" s="2"/>
      <c r="P82" s="2"/>
      <c r="Q82" s="2"/>
      <c r="R82" s="2"/>
    </row>
    <row r="83" spans="11:18" x14ac:dyDescent="0.35">
      <c r="K83" s="2">
        <f>E23</f>
        <v>5.7425134331044569</v>
      </c>
      <c r="L83" s="2"/>
      <c r="M83" s="2"/>
      <c r="N83" s="2"/>
      <c r="O83" s="2"/>
      <c r="P83" s="2"/>
      <c r="Q83" s="2"/>
      <c r="R83" s="2"/>
    </row>
    <row r="84" spans="11:18" x14ac:dyDescent="0.35">
      <c r="K84" s="2">
        <f>F23</f>
        <v>-0.98968883894441362</v>
      </c>
      <c r="L84" s="2"/>
      <c r="M84" s="2"/>
      <c r="N84" s="2"/>
      <c r="O84" s="2"/>
      <c r="P84" s="2"/>
      <c r="Q84" s="2"/>
      <c r="R84" s="2"/>
    </row>
    <row r="85" spans="11:18" x14ac:dyDescent="0.35">
      <c r="K85" s="2">
        <f>G23</f>
        <v>1.7751638350166354</v>
      </c>
      <c r="L85" s="2"/>
      <c r="M85" s="2"/>
      <c r="N85" s="2"/>
      <c r="O85" s="2"/>
      <c r="P85" s="2"/>
      <c r="Q85" s="2"/>
      <c r="R85" s="2"/>
    </row>
    <row r="86" spans="11:18" x14ac:dyDescent="0.35">
      <c r="K86" s="2">
        <f>H23</f>
        <v>0.84540521204070629</v>
      </c>
      <c r="L86" s="2"/>
      <c r="M86" s="2"/>
      <c r="N86" s="2"/>
      <c r="O86" s="2"/>
      <c r="P86" s="2"/>
      <c r="Q86" s="2"/>
      <c r="R86" s="2"/>
    </row>
    <row r="87" spans="11:18" x14ac:dyDescent="0.35">
      <c r="K87" s="2">
        <f>I23</f>
        <v>0.76153734541115625</v>
      </c>
      <c r="L87" s="2"/>
      <c r="M87" s="2"/>
      <c r="N87" s="2"/>
      <c r="O87" s="2"/>
      <c r="P87" s="2"/>
      <c r="Q87" s="2"/>
      <c r="R87" s="2"/>
    </row>
    <row r="88" spans="11:18" x14ac:dyDescent="0.35">
      <c r="K88" s="2">
        <f>B25</f>
        <v>49.441428074341573</v>
      </c>
      <c r="L88" s="2"/>
      <c r="M88" s="2"/>
      <c r="N88" s="2"/>
      <c r="O88" s="2"/>
      <c r="P88" s="2"/>
      <c r="Q88" s="2"/>
      <c r="R88" s="2"/>
    </row>
    <row r="89" spans="11:18" x14ac:dyDescent="0.35">
      <c r="K89" s="2">
        <f>C25</f>
        <v>8.0366857533946234</v>
      </c>
      <c r="L89" s="2"/>
      <c r="M89" s="2"/>
      <c r="N89" s="2"/>
      <c r="O89" s="2"/>
      <c r="P89" s="2"/>
      <c r="Q89" s="2"/>
      <c r="R89" s="2"/>
    </row>
    <row r="90" spans="11:18" x14ac:dyDescent="0.35">
      <c r="K90" s="2">
        <f>D25</f>
        <v>-4.3251593208546657</v>
      </c>
      <c r="L90" s="2"/>
      <c r="M90" s="2"/>
      <c r="N90" s="2"/>
      <c r="O90" s="2"/>
      <c r="P90" s="2"/>
      <c r="Q90" s="2"/>
      <c r="R90" s="2"/>
    </row>
    <row r="91" spans="11:18" x14ac:dyDescent="0.35">
      <c r="K91" s="2">
        <f>E25</f>
        <v>5.0035685333702284</v>
      </c>
      <c r="L91" s="2"/>
      <c r="M91" s="2"/>
      <c r="N91" s="2"/>
      <c r="O91" s="2"/>
      <c r="P91" s="2"/>
      <c r="Q91" s="2"/>
      <c r="R91" s="2"/>
    </row>
    <row r="92" spans="11:18" x14ac:dyDescent="0.35">
      <c r="K92" s="2">
        <f>F25</f>
        <v>-1.2636002798820045</v>
      </c>
      <c r="L92" s="2"/>
      <c r="M92" s="2"/>
      <c r="N92" s="2"/>
      <c r="O92" s="2"/>
      <c r="P92" s="2"/>
      <c r="Q92" s="2"/>
      <c r="R92" s="2"/>
    </row>
    <row r="93" spans="11:18" x14ac:dyDescent="0.35">
      <c r="K93" s="2">
        <f>G25</f>
        <v>4.7483851241182817</v>
      </c>
      <c r="L93" s="2"/>
      <c r="M93" s="2"/>
      <c r="N93" s="2"/>
      <c r="O93" s="2"/>
      <c r="P93" s="2"/>
      <c r="Q93" s="2"/>
      <c r="R93" s="2"/>
    </row>
    <row r="94" spans="11:18" x14ac:dyDescent="0.35">
      <c r="K94" s="2">
        <f>H25</f>
        <v>1.7828720864027092</v>
      </c>
      <c r="L94" s="2"/>
      <c r="M94" s="2"/>
      <c r="N94" s="2"/>
      <c r="O94" s="2"/>
      <c r="P94" s="2"/>
      <c r="Q94" s="2"/>
      <c r="R94" s="2"/>
    </row>
    <row r="95" spans="11:18" x14ac:dyDescent="0.35">
      <c r="K95" s="2">
        <f>I25</f>
        <v>1.7570393476522117</v>
      </c>
      <c r="L95" s="2"/>
      <c r="M95" s="2"/>
      <c r="N95" s="2"/>
      <c r="O95" s="2"/>
      <c r="P95" s="2"/>
      <c r="Q95" s="2"/>
      <c r="R95" s="2"/>
    </row>
    <row r="96" spans="11:18" x14ac:dyDescent="0.35">
      <c r="K96" s="2">
        <f>B27</f>
        <v>1.1060280825104574</v>
      </c>
      <c r="L96" s="2"/>
      <c r="M96" s="2"/>
      <c r="N96" s="2"/>
      <c r="O96" s="2"/>
      <c r="P96" s="2"/>
      <c r="Q96" s="2"/>
      <c r="R96" s="2"/>
    </row>
    <row r="97" spans="11:18" x14ac:dyDescent="0.35">
      <c r="K97" s="2">
        <f>C27</f>
        <v>16.383870787269128</v>
      </c>
      <c r="L97" s="2"/>
      <c r="M97" s="2"/>
      <c r="N97" s="2"/>
      <c r="O97" s="2"/>
      <c r="P97" s="2"/>
      <c r="Q97" s="2"/>
      <c r="R97" s="2"/>
    </row>
    <row r="98" spans="11:18" x14ac:dyDescent="0.35">
      <c r="K98" s="2">
        <f>D27</f>
        <v>-7.8339355787502285</v>
      </c>
      <c r="L98" s="2"/>
      <c r="M98" s="2"/>
      <c r="N98" s="2"/>
      <c r="O98" s="2"/>
      <c r="P98" s="2"/>
      <c r="Q98" s="2"/>
      <c r="R98" s="2"/>
    </row>
    <row r="99" spans="11:18" x14ac:dyDescent="0.35">
      <c r="K99" s="2">
        <f>E27</f>
        <v>5.6467238658779451</v>
      </c>
      <c r="L99" s="2"/>
      <c r="M99" s="2"/>
      <c r="N99" s="2"/>
      <c r="O99" s="2"/>
      <c r="P99" s="2"/>
      <c r="Q99" s="2"/>
      <c r="R99" s="2"/>
    </row>
    <row r="100" spans="11:18" x14ac:dyDescent="0.35">
      <c r="K100" s="2">
        <f>F27</f>
        <v>-1.9857827333436329</v>
      </c>
      <c r="L100" s="2"/>
      <c r="M100" s="2"/>
      <c r="N100" s="2"/>
      <c r="O100" s="2"/>
      <c r="P100" s="2"/>
      <c r="Q100" s="2"/>
      <c r="R100" s="2"/>
    </row>
    <row r="101" spans="11:18" x14ac:dyDescent="0.35">
      <c r="K101" s="2">
        <f>G27</f>
        <v>1.004780085075252</v>
      </c>
      <c r="L101" s="2"/>
      <c r="M101" s="2"/>
      <c r="N101" s="2"/>
      <c r="O101" s="2"/>
      <c r="P101" s="2"/>
      <c r="Q101" s="2"/>
      <c r="R101" s="2"/>
    </row>
    <row r="102" spans="11:18" x14ac:dyDescent="0.35">
      <c r="K102" s="2">
        <f>H27</f>
        <v>-4.0602285406365901E-3</v>
      </c>
      <c r="L102" s="2"/>
      <c r="M102" s="2"/>
      <c r="N102" s="2"/>
      <c r="O102" s="2"/>
      <c r="P102" s="2"/>
      <c r="Q102" s="2"/>
      <c r="R102" s="2"/>
    </row>
    <row r="103" spans="11:18" x14ac:dyDescent="0.35">
      <c r="K103" s="2">
        <f>I27</f>
        <v>-0.13318951219036812</v>
      </c>
      <c r="L103" s="2"/>
      <c r="M103" s="2"/>
      <c r="N103" s="2"/>
      <c r="O103" s="2"/>
      <c r="P103" s="2"/>
      <c r="Q103" s="2"/>
      <c r="R103" s="2"/>
    </row>
    <row r="104" spans="11:18" x14ac:dyDescent="0.35">
      <c r="K104" s="2">
        <f>B29</f>
        <v>15.458048503319866</v>
      </c>
      <c r="L104" s="2"/>
      <c r="M104" s="2"/>
      <c r="N104" s="2"/>
      <c r="O104" s="2"/>
      <c r="P104" s="2"/>
      <c r="Q104" s="2"/>
      <c r="R104" s="2"/>
    </row>
    <row r="105" spans="11:18" x14ac:dyDescent="0.35">
      <c r="K105" s="2">
        <f>C29</f>
        <v>-12.727372176759399</v>
      </c>
      <c r="L105" s="2"/>
      <c r="M105" s="2"/>
      <c r="N105" s="2"/>
      <c r="O105" s="2"/>
      <c r="P105" s="2"/>
      <c r="Q105" s="2"/>
      <c r="R105" s="2"/>
    </row>
    <row r="106" spans="11:18" x14ac:dyDescent="0.35">
      <c r="K106" s="2">
        <f>D29</f>
        <v>3.3258647901026839</v>
      </c>
      <c r="L106" s="2"/>
      <c r="M106" s="2"/>
      <c r="N106" s="2"/>
      <c r="O106" s="2"/>
      <c r="P106" s="2"/>
      <c r="Q106" s="2"/>
      <c r="R106" s="2"/>
    </row>
    <row r="107" spans="11:18" x14ac:dyDescent="0.35">
      <c r="K107" s="2">
        <f>E29</f>
        <v>2.4930488707224585</v>
      </c>
      <c r="L107" s="2"/>
      <c r="M107" s="2"/>
      <c r="N107" s="2"/>
      <c r="O107" s="2"/>
      <c r="P107" s="2"/>
      <c r="Q107" s="2"/>
      <c r="R107" s="2"/>
    </row>
    <row r="108" spans="11:18" x14ac:dyDescent="0.35">
      <c r="K108" s="2">
        <f>F29</f>
        <v>3.5433794841296606</v>
      </c>
      <c r="L108" s="2"/>
      <c r="M108" s="2"/>
      <c r="N108" s="2"/>
      <c r="O108" s="2"/>
      <c r="P108" s="2"/>
      <c r="Q108" s="2"/>
      <c r="R108" s="2"/>
    </row>
    <row r="109" spans="11:18" x14ac:dyDescent="0.35">
      <c r="K109" s="2">
        <f>G29</f>
        <v>2.2054453147402286</v>
      </c>
      <c r="L109" s="2"/>
      <c r="M109" s="2"/>
      <c r="N109" s="2"/>
      <c r="O109" s="2"/>
      <c r="P109" s="2"/>
      <c r="Q109" s="2"/>
      <c r="R109" s="2"/>
    </row>
    <row r="110" spans="11:18" x14ac:dyDescent="0.35">
      <c r="K110" s="2">
        <f>H29</f>
        <v>3.0646258363948187</v>
      </c>
      <c r="L110" s="2"/>
      <c r="M110" s="2"/>
      <c r="N110" s="2"/>
      <c r="O110" s="2"/>
      <c r="P110" s="2"/>
      <c r="Q110" s="2"/>
      <c r="R110" s="2"/>
    </row>
    <row r="111" spans="11:18" x14ac:dyDescent="0.35">
      <c r="K111" s="2">
        <f>I29</f>
        <v>2.8317805103440952</v>
      </c>
      <c r="L111" s="2"/>
      <c r="M111" s="2"/>
      <c r="N111" s="2"/>
      <c r="O111" s="2"/>
      <c r="P111" s="2"/>
      <c r="Q111" s="2"/>
      <c r="R111" s="2"/>
    </row>
    <row r="112" spans="11:18" x14ac:dyDescent="0.35">
      <c r="K112" s="2">
        <f>B31</f>
        <v>33.762805155430506</v>
      </c>
      <c r="L112" s="2"/>
      <c r="M112" s="2"/>
      <c r="N112" s="2"/>
      <c r="O112" s="2"/>
      <c r="P112" s="2"/>
      <c r="Q112" s="2"/>
      <c r="R112" s="2"/>
    </row>
    <row r="113" spans="11:18" x14ac:dyDescent="0.35">
      <c r="K113" s="2">
        <f>C31</f>
        <v>46.777394657134927</v>
      </c>
      <c r="L113" s="2"/>
      <c r="M113" s="2"/>
      <c r="N113" s="2"/>
      <c r="O113" s="2"/>
      <c r="P113" s="2"/>
      <c r="Q113" s="2"/>
      <c r="R113" s="2"/>
    </row>
    <row r="114" spans="11:18" x14ac:dyDescent="0.35">
      <c r="K114" s="2">
        <f>D31</f>
        <v>-10.502126219637919</v>
      </c>
      <c r="L114" s="2"/>
      <c r="M114" s="2"/>
      <c r="N114" s="2"/>
      <c r="O114" s="2"/>
      <c r="P114" s="2"/>
      <c r="Q114" s="2"/>
      <c r="R114" s="2"/>
    </row>
    <row r="115" spans="11:18" x14ac:dyDescent="0.35">
      <c r="K115" s="2">
        <f>E31</f>
        <v>4.768900976571433</v>
      </c>
      <c r="L115" s="2"/>
      <c r="M115" s="2"/>
      <c r="N115" s="2"/>
      <c r="O115" s="2"/>
      <c r="P115" s="2"/>
      <c r="Q115" s="2"/>
      <c r="R115" s="2"/>
    </row>
    <row r="116" spans="11:18" x14ac:dyDescent="0.35">
      <c r="K116" s="2">
        <f>F31</f>
        <v>13.201197885334848</v>
      </c>
      <c r="L116" s="2"/>
      <c r="M116" s="2"/>
      <c r="N116" s="2"/>
      <c r="O116" s="2"/>
      <c r="P116" s="2"/>
      <c r="Q116" s="2"/>
      <c r="R116" s="2"/>
    </row>
    <row r="117" spans="11:18" x14ac:dyDescent="0.35">
      <c r="K117" s="2">
        <f>G31</f>
        <v>0.3490547552257306</v>
      </c>
      <c r="L117" s="2"/>
      <c r="M117" s="2"/>
      <c r="N117" s="2"/>
      <c r="O117" s="2"/>
      <c r="P117" s="2"/>
      <c r="Q117" s="2"/>
      <c r="R117" s="2"/>
    </row>
    <row r="118" spans="11:18" x14ac:dyDescent="0.35">
      <c r="K118" s="2">
        <f>H31</f>
        <v>3.1456561081317114</v>
      </c>
      <c r="L118" s="2"/>
      <c r="M118" s="2"/>
      <c r="N118" s="2"/>
      <c r="O118" s="2"/>
      <c r="P118" s="2"/>
      <c r="Q118" s="2"/>
      <c r="R118" s="2"/>
    </row>
    <row r="119" spans="11:18" x14ac:dyDescent="0.35">
      <c r="K119" s="2">
        <f>I31</f>
        <v>3.2216969044576826</v>
      </c>
      <c r="L119" s="2"/>
      <c r="M119" s="2"/>
      <c r="N119" s="2"/>
      <c r="O119" s="2"/>
      <c r="P119" s="2"/>
      <c r="Q119" s="2"/>
      <c r="R119" s="2"/>
    </row>
    <row r="120" spans="11:18" x14ac:dyDescent="0.35">
      <c r="K120" s="2">
        <f>B33</f>
        <v>35.720513317427447</v>
      </c>
      <c r="L120" s="2"/>
      <c r="M120" s="2"/>
      <c r="N120" s="2"/>
      <c r="O120" s="2"/>
      <c r="P120" s="2"/>
      <c r="Q120" s="2"/>
      <c r="R120" s="2"/>
    </row>
    <row r="121" spans="11:18" x14ac:dyDescent="0.35">
      <c r="K121" s="2">
        <f>C33</f>
        <v>-0.33991200679425182</v>
      </c>
      <c r="L121" s="2"/>
      <c r="M121" s="2"/>
      <c r="N121" s="2"/>
      <c r="O121" s="2"/>
      <c r="P121" s="2"/>
      <c r="Q121" s="2"/>
      <c r="R121" s="2"/>
    </row>
    <row r="122" spans="11:18" x14ac:dyDescent="0.35">
      <c r="K122" s="2">
        <f>D33</f>
        <v>-24.611909728859573</v>
      </c>
      <c r="L122" s="2"/>
      <c r="M122" s="2"/>
      <c r="N122" s="2"/>
      <c r="O122" s="2"/>
      <c r="P122" s="2"/>
      <c r="Q122" s="2"/>
      <c r="R122" s="2"/>
    </row>
    <row r="123" spans="11:18" x14ac:dyDescent="0.35">
      <c r="K123" s="2">
        <f>E33</f>
        <v>28.904469982086422</v>
      </c>
      <c r="L123" s="2"/>
      <c r="M123" s="2"/>
      <c r="N123" s="2"/>
      <c r="O123" s="2"/>
      <c r="P123" s="2"/>
      <c r="Q123" s="2"/>
      <c r="R123" s="2"/>
    </row>
    <row r="124" spans="11:18" x14ac:dyDescent="0.35">
      <c r="K124" s="2">
        <f>F33</f>
        <v>-5.2766134367721147</v>
      </c>
      <c r="L124" s="2"/>
      <c r="M124" s="2"/>
      <c r="N124" s="2"/>
      <c r="O124" s="2"/>
      <c r="P124" s="2"/>
      <c r="Q124" s="2"/>
      <c r="R124" s="2"/>
    </row>
    <row r="125" spans="11:18" x14ac:dyDescent="0.35">
      <c r="K125" s="2">
        <f>G33</f>
        <v>8.8475337765553839</v>
      </c>
      <c r="L125" s="2"/>
      <c r="M125" s="2"/>
      <c r="N125" s="2"/>
      <c r="O125" s="2"/>
      <c r="P125" s="2"/>
      <c r="Q125" s="2"/>
      <c r="R125" s="2"/>
    </row>
    <row r="126" spans="11:18" x14ac:dyDescent="0.35">
      <c r="K126" s="2">
        <f>H33</f>
        <v>2.4377219507049519</v>
      </c>
      <c r="L126" s="2"/>
      <c r="M126" s="2"/>
      <c r="N126" s="2"/>
      <c r="O126" s="2"/>
      <c r="P126" s="2"/>
      <c r="Q126" s="2"/>
      <c r="R126" s="2"/>
    </row>
    <row r="127" spans="11:18" x14ac:dyDescent="0.35">
      <c r="K127" s="2">
        <f>I33</f>
        <v>2.5125871770614205</v>
      </c>
      <c r="L127" s="2"/>
      <c r="M127" s="2"/>
      <c r="N127" s="2"/>
      <c r="O127" s="2"/>
      <c r="P127" s="2"/>
      <c r="Q127" s="2"/>
      <c r="R127" s="2"/>
    </row>
    <row r="128" spans="11:18" x14ac:dyDescent="0.35">
      <c r="K128" s="2">
        <f>B35</f>
        <v>5.7391605614995012</v>
      </c>
      <c r="L128" s="2"/>
      <c r="M128" s="2"/>
      <c r="N128" s="2"/>
      <c r="O128" s="2"/>
      <c r="P128" s="2"/>
      <c r="Q128" s="2"/>
      <c r="R128" s="2"/>
    </row>
    <row r="129" spans="11:18" x14ac:dyDescent="0.35">
      <c r="K129" s="2">
        <f>C35</f>
        <v>-17.1909579992235</v>
      </c>
      <c r="L129" s="2"/>
      <c r="M129" s="2"/>
      <c r="N129" s="2"/>
      <c r="O129" s="2"/>
      <c r="P129" s="2"/>
      <c r="Q129" s="2"/>
      <c r="R129" s="2"/>
    </row>
    <row r="130" spans="11:18" x14ac:dyDescent="0.35">
      <c r="K130" s="2">
        <f>D35</f>
        <v>31.593570542701464</v>
      </c>
      <c r="L130" s="2"/>
      <c r="M130" s="2"/>
      <c r="N130" s="2"/>
      <c r="O130" s="2"/>
      <c r="P130" s="2"/>
      <c r="Q130" s="2"/>
      <c r="R130" s="2"/>
    </row>
    <row r="131" spans="11:18" x14ac:dyDescent="0.35">
      <c r="K131" s="2">
        <f>E35</f>
        <v>0.77357462484639594</v>
      </c>
      <c r="L131" s="2"/>
      <c r="M131" s="2"/>
      <c r="N131" s="2"/>
      <c r="O131" s="2"/>
      <c r="P131" s="2"/>
      <c r="Q131" s="2"/>
      <c r="R131" s="2"/>
    </row>
    <row r="132" spans="11:18" x14ac:dyDescent="0.35">
      <c r="K132" s="2">
        <f>F35</f>
        <v>-3.4063983094216987</v>
      </c>
      <c r="L132" s="2"/>
      <c r="M132" s="2"/>
      <c r="N132" s="2"/>
      <c r="O132" s="2"/>
      <c r="P132" s="2"/>
      <c r="Q132" s="2"/>
      <c r="R132" s="2"/>
    </row>
    <row r="133" spans="11:18" x14ac:dyDescent="0.35">
      <c r="K133" s="2">
        <f>G35</f>
        <v>2.776987714044199</v>
      </c>
      <c r="L133" s="2"/>
      <c r="M133" s="2"/>
      <c r="N133" s="2"/>
      <c r="O133" s="2"/>
      <c r="P133" s="2"/>
      <c r="Q133" s="2"/>
      <c r="R133" s="2"/>
    </row>
    <row r="134" spans="11:18" x14ac:dyDescent="0.35">
      <c r="K134" s="2">
        <f>H35</f>
        <v>1.1314164255222137</v>
      </c>
      <c r="L134" s="2"/>
      <c r="M134" s="2"/>
      <c r="N134" s="2"/>
      <c r="O134" s="2"/>
      <c r="P134" s="2"/>
      <c r="Q134" s="2"/>
      <c r="R134" s="2"/>
    </row>
    <row r="135" spans="11:18" x14ac:dyDescent="0.35">
      <c r="K135" s="2">
        <f>I35</f>
        <v>1.4020738226153462</v>
      </c>
      <c r="L135" s="2"/>
      <c r="M135" s="2"/>
      <c r="N135" s="2"/>
      <c r="O135" s="2"/>
      <c r="P135" s="2"/>
      <c r="Q135" s="2"/>
      <c r="R135" s="2"/>
    </row>
    <row r="136" spans="11:18" x14ac:dyDescent="0.35">
      <c r="K136" s="2">
        <f>B37</f>
        <v>-10.004187770855665</v>
      </c>
      <c r="L136" s="2"/>
      <c r="M136" s="2"/>
      <c r="N136" s="2"/>
      <c r="O136" s="2"/>
      <c r="P136" s="2"/>
      <c r="Q136" s="2"/>
      <c r="R136" s="2"/>
    </row>
    <row r="137" spans="11:18" x14ac:dyDescent="0.35">
      <c r="K137" s="2">
        <f>C37</f>
        <v>-2.4645324734145158</v>
      </c>
      <c r="L137" s="2"/>
      <c r="M137" s="2"/>
      <c r="N137" s="2"/>
      <c r="O137" s="2"/>
      <c r="P137" s="2"/>
      <c r="Q137" s="2"/>
      <c r="R137" s="2"/>
    </row>
    <row r="138" spans="11:18" x14ac:dyDescent="0.35">
      <c r="K138" s="2">
        <f>D37</f>
        <v>-2.5798850490032721</v>
      </c>
      <c r="L138" s="2"/>
      <c r="M138" s="2"/>
      <c r="N138" s="2"/>
      <c r="O138" s="2"/>
      <c r="P138" s="2"/>
      <c r="Q138" s="2"/>
      <c r="R138" s="2"/>
    </row>
    <row r="139" spans="11:18" x14ac:dyDescent="0.35">
      <c r="K139" s="2">
        <f>E37</f>
        <v>11.909960411952603</v>
      </c>
      <c r="L139" s="2"/>
      <c r="M139" s="2"/>
      <c r="N139" s="2"/>
      <c r="O139" s="2"/>
      <c r="P139" s="2"/>
      <c r="Q139" s="2"/>
      <c r="R139" s="2"/>
    </row>
    <row r="140" spans="11:18" x14ac:dyDescent="0.35">
      <c r="K140" s="2">
        <f>F37</f>
        <v>-6.5529832578875009</v>
      </c>
      <c r="L140" s="2"/>
      <c r="M140" s="2"/>
      <c r="N140" s="2"/>
      <c r="O140" s="2"/>
      <c r="P140" s="2"/>
      <c r="Q140" s="2"/>
      <c r="R140" s="2"/>
    </row>
    <row r="141" spans="11:18" x14ac:dyDescent="0.35">
      <c r="K141" s="2">
        <f>G37</f>
        <v>3.232979447589801</v>
      </c>
      <c r="L141" s="2"/>
      <c r="M141" s="2"/>
      <c r="N141" s="2"/>
      <c r="O141" s="2"/>
      <c r="P141" s="2"/>
      <c r="Q141" s="2"/>
      <c r="R141" s="2"/>
    </row>
    <row r="142" spans="11:18" x14ac:dyDescent="0.35">
      <c r="K142" s="2">
        <f>H37</f>
        <v>-1.7889423364703116E-2</v>
      </c>
      <c r="L142" s="2"/>
      <c r="M142" s="2"/>
      <c r="N142" s="2"/>
      <c r="O142" s="2"/>
      <c r="P142" s="2"/>
      <c r="Q142" s="2"/>
      <c r="R142" s="2"/>
    </row>
    <row r="143" spans="11:18" x14ac:dyDescent="0.35">
      <c r="K143" s="2">
        <f>I37</f>
        <v>-8.8654802094023655E-2</v>
      </c>
      <c r="L143" s="2"/>
      <c r="M143" s="2"/>
      <c r="N143" s="2"/>
      <c r="O143" s="2"/>
      <c r="P143" s="2"/>
      <c r="Q143" s="2"/>
      <c r="R143" s="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DDE6-BC68-4033-AD4B-741A965D5843}">
  <dimension ref="A1:C18"/>
  <sheetViews>
    <sheetView workbookViewId="0">
      <selection activeCell="A8" sqref="A8:C15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3" ht="18.5" x14ac:dyDescent="0.45">
      <c r="A1" s="6" t="s">
        <v>17</v>
      </c>
    </row>
    <row r="2" spans="1:3" s="1" customFormat="1" x14ac:dyDescent="0.35"/>
    <row r="4" spans="1:3" x14ac:dyDescent="0.35">
      <c r="A4" s="7" t="s">
        <v>31</v>
      </c>
    </row>
    <row r="5" spans="1:3" x14ac:dyDescent="0.35">
      <c r="A5" s="1" t="str">
        <f>[10]dominant!$A$1</f>
        <v>Dominant Industries, 2023</v>
      </c>
    </row>
    <row r="7" spans="1:3" s="1" customFormat="1" x14ac:dyDescent="0.35">
      <c r="A7" s="1" t="s">
        <v>32</v>
      </c>
      <c r="B7" s="1" t="s">
        <v>33</v>
      </c>
      <c r="C7" s="1" t="s">
        <v>68</v>
      </c>
    </row>
    <row r="8" spans="1:3" x14ac:dyDescent="0.35">
      <c r="A8" s="13" t="str">
        <f>[10]dominant!A73</f>
        <v>4411 - 4543</v>
      </c>
      <c r="B8" s="13" t="str">
        <f>[10]dominant!B73</f>
        <v>Retail Trade</v>
      </c>
      <c r="C8" s="2">
        <f>[10]dominant!C73</f>
        <v>50.524999999999999</v>
      </c>
    </row>
    <row r="9" spans="1:3" x14ac:dyDescent="0.35">
      <c r="A9" s="13" t="str">
        <f>[10]dominant!A74</f>
        <v>2311 - 2329</v>
      </c>
      <c r="B9" s="13" t="str">
        <f>[10]dominant!B74</f>
        <v>Construction</v>
      </c>
      <c r="C9" s="2">
        <f>[10]dominant!C74</f>
        <v>30.625</v>
      </c>
    </row>
    <row r="10" spans="1:3" x14ac:dyDescent="0.35">
      <c r="A10" s="13" t="str">
        <f>[10]dominant!A75</f>
        <v>7221 - 7224</v>
      </c>
      <c r="B10" s="13" t="str">
        <f>[10]dominant!B75</f>
        <v>Food Services and Drinking Places</v>
      </c>
      <c r="C10" s="2">
        <f>[10]dominant!C75</f>
        <v>20</v>
      </c>
    </row>
    <row r="11" spans="1:3" x14ac:dyDescent="0.35">
      <c r="A11" s="13">
        <f>[10]dominant!A76</f>
        <v>6220</v>
      </c>
      <c r="B11" s="13" t="str">
        <f>[10]dominant!B76</f>
        <v>Hospitals</v>
      </c>
      <c r="C11" s="2">
        <f>[10]dominant!C76</f>
        <v>19.524999999999999</v>
      </c>
    </row>
    <row r="12" spans="1:3" x14ac:dyDescent="0.35">
      <c r="A12" s="13">
        <f>[10]dominant!A77</f>
        <v>6111</v>
      </c>
      <c r="B12" s="13" t="str">
        <f>[10]dominant!B77</f>
        <v>Primary and Secondary</v>
      </c>
      <c r="C12" s="2">
        <f>[10]dominant!C77</f>
        <v>19.074999999999996</v>
      </c>
    </row>
    <row r="13" spans="1:3" x14ac:dyDescent="0.35">
      <c r="A13" s="13" t="str">
        <f>[10]dominant!A78</f>
        <v>4111 - 4191</v>
      </c>
      <c r="B13" s="13" t="str">
        <f>[10]dominant!B78</f>
        <v>Wholesale Trade</v>
      </c>
      <c r="C13" s="2">
        <f>[10]dominant!C78</f>
        <v>18.024999999999999</v>
      </c>
    </row>
    <row r="14" spans="1:3" x14ac:dyDescent="0.35">
      <c r="A14" s="13" t="str">
        <f>[10]dominant!A79</f>
        <v>6211 - 6219</v>
      </c>
      <c r="B14" s="13" t="str">
        <f>[10]dominant!B79</f>
        <v>Ambulatory Health Care Services</v>
      </c>
      <c r="C14" s="2">
        <f>[10]dominant!C79</f>
        <v>17.399999999999999</v>
      </c>
    </row>
    <row r="15" spans="1:3" x14ac:dyDescent="0.35">
      <c r="A15" s="13" t="str">
        <f>[10]dominant!A80</f>
        <v>4811 - 4922</v>
      </c>
      <c r="B15" s="13" t="str">
        <f>[10]dominant!B80</f>
        <v>Transportation</v>
      </c>
      <c r="C15" s="2">
        <f>[10]dominant!C80</f>
        <v>16.45</v>
      </c>
    </row>
    <row r="17" spans="1:1" x14ac:dyDescent="0.35">
      <c r="A17" t="s">
        <v>34</v>
      </c>
    </row>
    <row r="18" spans="1:1" x14ac:dyDescent="0.35">
      <c r="A18" t="s">
        <v>35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274A-05D8-44AB-9FF5-B8FF2EF820FE}">
  <dimension ref="A1:C13"/>
  <sheetViews>
    <sheetView workbookViewId="0">
      <selection activeCell="B10" sqref="B10:C11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3" ht="18.5" x14ac:dyDescent="0.45">
      <c r="A1" s="6" t="s">
        <v>17</v>
      </c>
    </row>
    <row r="2" spans="1:3" s="1" customFormat="1" x14ac:dyDescent="0.35"/>
    <row r="4" spans="1:3" x14ac:dyDescent="0.35">
      <c r="A4" s="7" t="s">
        <v>36</v>
      </c>
    </row>
    <row r="5" spans="1:3" x14ac:dyDescent="0.35">
      <c r="A5" s="1" t="s">
        <v>37</v>
      </c>
    </row>
    <row r="7" spans="1:3" x14ac:dyDescent="0.35">
      <c r="A7" s="19" t="s">
        <v>38</v>
      </c>
      <c r="B7" t="s">
        <v>39</v>
      </c>
      <c r="C7" s="8">
        <f>[11]TAB10_ha!$C$2*100</f>
        <v>60.70168230928504</v>
      </c>
    </row>
    <row r="8" spans="1:3" x14ac:dyDescent="0.35">
      <c r="B8" t="s">
        <v>40</v>
      </c>
      <c r="C8" s="8">
        <f>100-C7</f>
        <v>39.29831769071496</v>
      </c>
    </row>
    <row r="10" spans="1:3" x14ac:dyDescent="0.35">
      <c r="A10" s="19" t="s">
        <v>41</v>
      </c>
      <c r="B10" t="s">
        <v>90</v>
      </c>
      <c r="C10" s="8">
        <f>+[11]TAB10_ha!$B$2*100</f>
        <v>195.34770204098558</v>
      </c>
    </row>
    <row r="11" spans="1:3" x14ac:dyDescent="0.35">
      <c r="B11" t="s">
        <v>10</v>
      </c>
      <c r="C11" s="8">
        <v>100</v>
      </c>
    </row>
    <row r="13" spans="1:3" x14ac:dyDescent="0.35">
      <c r="A13" t="s">
        <v>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1474E5065875478EDE075F0724ED4E" ma:contentTypeVersion="19" ma:contentTypeDescription="Create a new document." ma:contentTypeScope="" ma:versionID="7646d35172d8a3828b67692e0131e81e">
  <xsd:schema xmlns:xsd="http://www.w3.org/2001/XMLSchema" xmlns:xs="http://www.w3.org/2001/XMLSchema" xmlns:p="http://schemas.microsoft.com/office/2006/metadata/properties" xmlns:ns2="4efa3da2-ca60-48f2-a344-9bc3addfa2dd" xmlns:ns3="f3a30a58-f7f7-41f6-9806-8fa070d5b945" xmlns:ns4="dc063631-6b84-449e-b0d5-7fa9dfefee6c" targetNamespace="http://schemas.microsoft.com/office/2006/metadata/properties" ma:root="true" ma:fieldsID="d833f8e130d2ee1e289635e5031c75a1" ns2:_="" ns3:_="" ns4:_="">
    <xsd:import namespace="4efa3da2-ca60-48f2-a344-9bc3addfa2dd"/>
    <xsd:import namespace="f3a30a58-f7f7-41f6-9806-8fa070d5b945"/>
    <xsd:import namespace="dc063631-6b84-449e-b0d5-7fa9dfefe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Hyperlink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3da2-ca60-48f2-a344-9bc3addfa2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0a58-f7f7-41f6-9806-8fa070d5b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7bcdb9e-8f2b-49e0-ba82-dab308ab8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63631-6b84-449e-b0d5-7fa9dfefee6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4ebeb7b-6812-4c72-843e-8d5ac74c92dc}" ma:internalName="TaxCatchAll" ma:showField="CatchAllData" ma:web="4efa3da2-ca60-48f2-a344-9bc3addfa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84B054-CF4F-4AE7-92A2-67BD1B54B904}"/>
</file>

<file path=customXml/itemProps2.xml><?xml version="1.0" encoding="utf-8"?>
<ds:datastoreItem xmlns:ds="http://schemas.openxmlformats.org/officeDocument/2006/customXml" ds:itemID="{2210205D-903D-4E77-A3FC-60C20B9615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Ranking</vt:lpstr>
      <vt:lpstr>Credit Quality</vt:lpstr>
      <vt:lpstr>Relative Cost of Shelter</vt:lpstr>
      <vt:lpstr>Economic Indicators</vt:lpstr>
      <vt:lpstr>Chart 1</vt:lpstr>
      <vt:lpstr>Chart 2</vt:lpstr>
      <vt:lpstr>Table 1</vt:lpstr>
      <vt:lpstr>Table 2</vt:lpstr>
      <vt:lpstr>Chart 3</vt:lpstr>
      <vt:lpstr>Table 3</vt:lpstr>
      <vt:lpstr>Table 4</vt:lpstr>
      <vt:lpstr>Chart 4</vt:lpstr>
      <vt:lpstr>Chart 5</vt:lpstr>
      <vt:lpstr>Chart 6</vt:lpstr>
      <vt:lpstr>Chart 7</vt:lpstr>
      <vt:lpstr>Table 5</vt:lpstr>
      <vt:lpstr>Chart 8</vt:lpstr>
      <vt:lpstr>Hamilton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wadden</dc:creator>
  <cp:lastModifiedBy>Jane McIntyre</cp:lastModifiedBy>
  <dcterms:created xsi:type="dcterms:W3CDTF">2017-03-10T21:13:15Z</dcterms:created>
  <dcterms:modified xsi:type="dcterms:W3CDTF">2024-06-11T01:18:36Z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01A4-D5DB-C017-6F37</vt:lpwstr>
  </property>
  <property fmtid="{D5CDD505-2E9C-101B-9397-08002B2CF9AE}" pid="3" name="LINKTEK-ID-LINK=1">
    <vt:lpwstr>01A8-CC07-2930-5ECF|/Mod1/Louis/All Cities/office sector.xls</vt:lpwstr>
  </property>
  <property fmtid="{D5CDD505-2E9C-101B-9397-08002B2CF9AE}" pid="4" name="LINKTEK-ID-LINK=2">
    <vt:lpwstr>0111-9065-7A0C-A523|/Mod1/Louis/All Cities/Bankruptcies.xls</vt:lpwstr>
  </property>
  <property fmtid="{D5CDD505-2E9C-101B-9397-08002B2CF9AE}" pid="5" name="LINKTEK-ID-LINK=3">
    <vt:lpwstr>0131-95BF-FD41-54BF|/Mod1/Louis/All Cities/CREA Real Estate.xlsx</vt:lpwstr>
  </property>
  <property fmtid="{D5CDD505-2E9C-101B-9397-08002B2CF9AE}" pid="6" name="LINKTEK-ID-LINK=4">
    <vt:lpwstr>01C1-4B43-6460-FF1B|/Mod1/Louis/ranking/ranking.xls</vt:lpwstr>
  </property>
  <property fmtid="{D5CDD505-2E9C-101B-9397-08002B2CF9AE}" pid="7" name="LINKTEK-ID-LINK=5">
    <vt:lpwstr>01B8-615F-12DE-F730|/Mod1/Louis/All Cities/Credit Quality.xls</vt:lpwstr>
  </property>
  <property fmtid="{D5CDD505-2E9C-101B-9397-08002B2CF9AE}" pid="8" name="LINKTEK-ID-LINK=6">
    <vt:lpwstr>0124-3334-438F-C170|/Mod1/Louis/All Cities/relative cost of shelter.xls</vt:lpwstr>
  </property>
  <property fmtid="{D5CDD505-2E9C-101B-9397-08002B2CF9AE}" pid="9" name="LINKTEK-ID-LINK=7">
    <vt:lpwstr>0159-EB92-C91A-427C|/Mod1/Louis/All Cities/dominant industries.xls</vt:lpwstr>
  </property>
</Properties>
</file>